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8" windowWidth="15576" windowHeight="11448" activeTab="1"/>
  </bookViews>
  <sheets>
    <sheet name="приложение по энергосбережению" sheetId="26" r:id="rId1"/>
    <sheet name="бланк ПФХД " sheetId="25" r:id="rId2"/>
    <sheet name="пример по оплате труда(бюджет)" sheetId="20" r:id="rId3"/>
    <sheet name="пример по оплате труда(внебюдже" sheetId="21" r:id="rId4"/>
    <sheet name="расч.расх.на опл.тр." sheetId="1" r:id="rId5"/>
    <sheet name="служеб.коман." sheetId="2" r:id="rId6"/>
    <sheet name="вып.перс.по уход.за реб." sheetId="5" r:id="rId7"/>
    <sheet name="страх.взносы" sheetId="6" r:id="rId8"/>
    <sheet name="соц.и иные выпл." sheetId="7" r:id="rId9"/>
    <sheet name="налоги" sheetId="8" r:id="rId10"/>
    <sheet name="проч.налоги и сборы" sheetId="9" r:id="rId11"/>
    <sheet name="безвозм.переч-ия" sheetId="10" r:id="rId12"/>
    <sheet name="проч.расходы" sheetId="11" r:id="rId13"/>
    <sheet name="расх.на оплат.услуг связи" sheetId="12" r:id="rId14"/>
    <sheet name="расх.на оплат.транс.услуг " sheetId="13" r:id="rId15"/>
    <sheet name="расх.на оплат.комун.услуг" sheetId="14" r:id="rId16"/>
    <sheet name="расх.на оплат.арен.имущ." sheetId="15" r:id="rId17"/>
    <sheet name="расх.на оплат.содер.имущ." sheetId="16" r:id="rId18"/>
    <sheet name="расх.на опл.проч.раб.и  (бюдж)" sheetId="23" r:id="rId19"/>
    <sheet name="расх.на опл.проч.раб.и (внебюдж" sheetId="17" r:id="rId20"/>
    <sheet name="основ.сред." sheetId="18" r:id="rId21"/>
    <sheet name="приоб.мат.запасов (внебюджет)" sheetId="24" r:id="rId22"/>
    <sheet name="приоб.мат.запасов (бюджет" sheetId="19" r:id="rId23"/>
    <sheet name="ФЗП бюджет-допол" sheetId="3" r:id="rId24"/>
    <sheet name="Лист4" sheetId="4" r:id="rId25"/>
  </sheets>
  <externalReferences>
    <externalReference r:id="rId26"/>
  </externalReferences>
  <definedNames>
    <definedName name="admi" localSheetId="23">'ФЗП бюджет-допол'!#REF!</definedName>
    <definedName name="auxi" localSheetId="23">'ФЗП бюджет-допол'!#REF!</definedName>
    <definedName name="pedi" localSheetId="23">'ФЗП бюджет-допол'!#REF!</definedName>
    <definedName name="stai" localSheetId="23">'ФЗП бюджет-допол'!#REF!</definedName>
    <definedName name="teai" localSheetId="23">'ФЗП бюджет-допол'!#REF!</definedName>
    <definedName name="иии">'ФЗП бюджет-допол'!#REF!</definedName>
    <definedName name="ммм">'ФЗП бюджет-допол'!#REF!</definedName>
    <definedName name="ььь">'ФЗП бюджет-допол'!#REF!</definedName>
  </definedNames>
  <calcPr calcId="125725"/>
</workbook>
</file>

<file path=xl/calcChain.xml><?xml version="1.0" encoding="utf-8"?>
<calcChain xmlns="http://schemas.openxmlformats.org/spreadsheetml/2006/main">
  <c r="X114" i="25"/>
  <c r="X106"/>
  <c r="Y105"/>
  <c r="X105"/>
  <c r="Y104"/>
  <c r="X104"/>
  <c r="X97"/>
  <c r="X94"/>
  <c r="P114"/>
  <c r="P106"/>
  <c r="Q105"/>
  <c r="P105"/>
  <c r="Q104"/>
  <c r="P104"/>
  <c r="P97"/>
  <c r="P94"/>
  <c r="H104"/>
  <c r="F14" i="19"/>
  <c r="F17" s="1"/>
  <c r="F15"/>
  <c r="F14" i="24"/>
  <c r="E24" i="16"/>
  <c r="F12" i="14"/>
  <c r="C12"/>
  <c r="C14"/>
  <c r="F18"/>
  <c r="C17"/>
  <c r="C15"/>
  <c r="C12" i="8"/>
  <c r="E12"/>
  <c r="E19"/>
  <c r="C19"/>
  <c r="D12" i="6"/>
  <c r="J20" i="1"/>
  <c r="G17"/>
  <c r="H55" i="25"/>
  <c r="H54"/>
  <c r="H106"/>
  <c r="G68"/>
  <c r="D14" i="23"/>
  <c r="D18" s="1"/>
  <c r="E27" i="16"/>
  <c r="E12"/>
  <c r="F18" i="24"/>
  <c r="D15" i="14"/>
  <c r="F15"/>
  <c r="F21" i="12"/>
  <c r="D22" i="6"/>
  <c r="D11"/>
  <c r="D15"/>
  <c r="D19" i="1"/>
  <c r="J19" s="1"/>
  <c r="D18"/>
  <c r="J18" s="1"/>
  <c r="D20"/>
  <c r="D17"/>
  <c r="J17" s="1"/>
  <c r="D16"/>
  <c r="J16" s="1"/>
  <c r="G134" i="25"/>
  <c r="N134"/>
  <c r="M134"/>
  <c r="K134"/>
  <c r="J134"/>
  <c r="I134"/>
  <c r="I105"/>
  <c r="H105"/>
  <c r="I104"/>
  <c r="H114"/>
  <c r="H97"/>
  <c r="H94"/>
  <c r="I53"/>
  <c r="E33" i="16" l="1"/>
  <c r="J21" i="1"/>
  <c r="P255" i="3" l="1"/>
  <c r="K98"/>
  <c r="K99"/>
  <c r="K100"/>
  <c r="R100" s="1"/>
  <c r="K101"/>
  <c r="K102"/>
  <c r="R102" s="1"/>
  <c r="K103"/>
  <c r="P103" s="1"/>
  <c r="K104"/>
  <c r="P104"/>
  <c r="K105"/>
  <c r="R105" s="1"/>
  <c r="K106"/>
  <c r="P106" s="1"/>
  <c r="K107"/>
  <c r="R107"/>
  <c r="K108"/>
  <c r="P108"/>
  <c r="S108" s="1"/>
  <c r="K109"/>
  <c r="K110"/>
  <c r="P110" s="1"/>
  <c r="K111"/>
  <c r="R111" s="1"/>
  <c r="P111"/>
  <c r="S111" s="1"/>
  <c r="K112"/>
  <c r="R112"/>
  <c r="K113"/>
  <c r="R113" s="1"/>
  <c r="K77"/>
  <c r="R77" s="1"/>
  <c r="K78"/>
  <c r="K79"/>
  <c r="P79" s="1"/>
  <c r="K80"/>
  <c r="K81"/>
  <c r="K59"/>
  <c r="O59" s="1"/>
  <c r="K60"/>
  <c r="O60" s="1"/>
  <c r="K61"/>
  <c r="M61" s="1"/>
  <c r="K62"/>
  <c r="K63"/>
  <c r="O63" s="1"/>
  <c r="K64"/>
  <c r="R64" s="1"/>
  <c r="O64"/>
  <c r="K65"/>
  <c r="M65" s="1"/>
  <c r="K66"/>
  <c r="K67"/>
  <c r="M67" s="1"/>
  <c r="K68"/>
  <c r="O68" s="1"/>
  <c r="K69"/>
  <c r="O66"/>
  <c r="M59"/>
  <c r="P59" s="1"/>
  <c r="M63"/>
  <c r="P63" s="1"/>
  <c r="S63" s="1"/>
  <c r="M66"/>
  <c r="P66" s="1"/>
  <c r="R143"/>
  <c r="R142"/>
  <c r="P142"/>
  <c r="R141"/>
  <c r="P141"/>
  <c r="R140"/>
  <c r="S140" s="1"/>
  <c r="P140"/>
  <c r="R139"/>
  <c r="P139"/>
  <c r="R138"/>
  <c r="P138"/>
  <c r="S138" s="1"/>
  <c r="R137"/>
  <c r="P137"/>
  <c r="S137" s="1"/>
  <c r="R136"/>
  <c r="S136" s="1"/>
  <c r="P136"/>
  <c r="R135"/>
  <c r="P135"/>
  <c r="S135" s="1"/>
  <c r="R134"/>
  <c r="P134"/>
  <c r="R133"/>
  <c r="P133"/>
  <c r="S133" s="1"/>
  <c r="R132"/>
  <c r="P132"/>
  <c r="S132" s="1"/>
  <c r="R131"/>
  <c r="P131"/>
  <c r="S131" s="1"/>
  <c r="R130"/>
  <c r="R129"/>
  <c r="R127"/>
  <c r="R126"/>
  <c r="R125"/>
  <c r="R114"/>
  <c r="P112"/>
  <c r="R110"/>
  <c r="R109"/>
  <c r="P109"/>
  <c r="R108"/>
  <c r="P107"/>
  <c r="S107" s="1"/>
  <c r="P105"/>
  <c r="R103"/>
  <c r="R101"/>
  <c r="P101"/>
  <c r="R98"/>
  <c r="P98"/>
  <c r="R96"/>
  <c r="R94"/>
  <c r="R89"/>
  <c r="R88"/>
  <c r="R87"/>
  <c r="R86"/>
  <c r="R85"/>
  <c r="R84"/>
  <c r="R81"/>
  <c r="R78"/>
  <c r="P78"/>
  <c r="R66"/>
  <c r="R59"/>
  <c r="R53"/>
  <c r="R42"/>
  <c r="R41"/>
  <c r="R36"/>
  <c r="R31"/>
  <c r="K33"/>
  <c r="R33" s="1"/>
  <c r="K27"/>
  <c r="R27" s="1"/>
  <c r="K28"/>
  <c r="K29"/>
  <c r="K30"/>
  <c r="M30" s="1"/>
  <c r="K31"/>
  <c r="K32"/>
  <c r="B257"/>
  <c r="B256"/>
  <c r="B254"/>
  <c r="B253"/>
  <c r="B252"/>
  <c r="O241"/>
  <c r="B240"/>
  <c r="B239"/>
  <c r="B238"/>
  <c r="B237"/>
  <c r="B236"/>
  <c r="B235"/>
  <c r="B234"/>
  <c r="B233"/>
  <c r="B232"/>
  <c r="B231"/>
  <c r="B230"/>
  <c r="B229"/>
  <c r="K228"/>
  <c r="B228"/>
  <c r="P227"/>
  <c r="O227"/>
  <c r="N227"/>
  <c r="M227"/>
  <c r="L227"/>
  <c r="K227"/>
  <c r="J227"/>
  <c r="I227"/>
  <c r="H227"/>
  <c r="G227"/>
  <c r="F227"/>
  <c r="E227"/>
  <c r="D227"/>
  <c r="O223"/>
  <c r="AP215"/>
  <c r="AO215"/>
  <c r="AN215"/>
  <c r="AK215"/>
  <c r="AJ215"/>
  <c r="AI215"/>
  <c r="AE215"/>
  <c r="AD215"/>
  <c r="AB215"/>
  <c r="AA215"/>
  <c r="AC215" s="1"/>
  <c r="Z215"/>
  <c r="AT214"/>
  <c r="AP214"/>
  <c r="AO214"/>
  <c r="AN214"/>
  <c r="AK214"/>
  <c r="AJ214"/>
  <c r="AI214"/>
  <c r="AL214" s="1"/>
  <c r="AF214"/>
  <c r="AE214"/>
  <c r="AD214"/>
  <c r="AG214" s="1"/>
  <c r="AB214"/>
  <c r="AA214"/>
  <c r="Z214"/>
  <c r="AC214" s="1"/>
  <c r="R212"/>
  <c r="K210"/>
  <c r="F210"/>
  <c r="O205"/>
  <c r="B204"/>
  <c r="B203"/>
  <c r="B202"/>
  <c r="B201"/>
  <c r="B200"/>
  <c r="B199"/>
  <c r="B198"/>
  <c r="B197"/>
  <c r="B196"/>
  <c r="B195"/>
  <c r="B194"/>
  <c r="B193"/>
  <c r="L192"/>
  <c r="J192"/>
  <c r="I192"/>
  <c r="E192"/>
  <c r="G192" s="1"/>
  <c r="M192" s="1"/>
  <c r="C192"/>
  <c r="F192" s="1"/>
  <c r="B192"/>
  <c r="P191"/>
  <c r="O191"/>
  <c r="N191"/>
  <c r="M191"/>
  <c r="L191"/>
  <c r="K191"/>
  <c r="J191"/>
  <c r="I191"/>
  <c r="H191"/>
  <c r="G191"/>
  <c r="F191"/>
  <c r="E191"/>
  <c r="D191"/>
  <c r="AQ188"/>
  <c r="AL188"/>
  <c r="AG188"/>
  <c r="AC188"/>
  <c r="AQ187"/>
  <c r="AL187"/>
  <c r="AG187"/>
  <c r="AC187"/>
  <c r="AH187" s="1"/>
  <c r="AM187" s="1"/>
  <c r="AR187" s="1"/>
  <c r="AU187" s="1"/>
  <c r="E176"/>
  <c r="E177" s="1"/>
  <c r="F177" s="1"/>
  <c r="E173"/>
  <c r="F173" s="1"/>
  <c r="G172"/>
  <c r="F172"/>
  <c r="F171"/>
  <c r="E170"/>
  <c r="F170" s="1"/>
  <c r="G169"/>
  <c r="C257" s="1"/>
  <c r="F169"/>
  <c r="F168"/>
  <c r="P166"/>
  <c r="U165"/>
  <c r="V165" s="1"/>
  <c r="T165"/>
  <c r="F165"/>
  <c r="E164"/>
  <c r="F164" s="1"/>
  <c r="E163"/>
  <c r="E166" s="1"/>
  <c r="P161"/>
  <c r="D161"/>
  <c r="AQ160"/>
  <c r="AL160"/>
  <c r="AF160"/>
  <c r="AC160"/>
  <c r="AQ159"/>
  <c r="AL159"/>
  <c r="AG159"/>
  <c r="AC159"/>
  <c r="AH159"/>
  <c r="F158"/>
  <c r="D158"/>
  <c r="F157"/>
  <c r="D157"/>
  <c r="H156"/>
  <c r="G156" s="1"/>
  <c r="F156"/>
  <c r="D156"/>
  <c r="E155"/>
  <c r="G155" s="1"/>
  <c r="D155"/>
  <c r="H154"/>
  <c r="G154"/>
  <c r="F154"/>
  <c r="AQ153"/>
  <c r="AL153"/>
  <c r="AF153"/>
  <c r="AG153" s="1"/>
  <c r="AE153"/>
  <c r="AB153"/>
  <c r="AA153"/>
  <c r="Z153"/>
  <c r="E153"/>
  <c r="G153" s="1"/>
  <c r="G152" s="1"/>
  <c r="D153"/>
  <c r="D152"/>
  <c r="C149"/>
  <c r="E145"/>
  <c r="X7" s="1"/>
  <c r="AC144"/>
  <c r="AA144"/>
  <c r="Y144"/>
  <c r="W144"/>
  <c r="V144"/>
  <c r="E144"/>
  <c r="AE143"/>
  <c r="O143"/>
  <c r="M143"/>
  <c r="O130"/>
  <c r="M130"/>
  <c r="O129"/>
  <c r="M129"/>
  <c r="K128"/>
  <c r="O128" s="1"/>
  <c r="O127"/>
  <c r="M127"/>
  <c r="O126"/>
  <c r="M126"/>
  <c r="P126" s="1"/>
  <c r="S126" s="1"/>
  <c r="O125"/>
  <c r="M125"/>
  <c r="K124"/>
  <c r="O124" s="1"/>
  <c r="K123"/>
  <c r="K122"/>
  <c r="R122" s="1"/>
  <c r="K121"/>
  <c r="AE120"/>
  <c r="O120"/>
  <c r="K120"/>
  <c r="K119"/>
  <c r="M119" s="1"/>
  <c r="AE118"/>
  <c r="K118"/>
  <c r="R118" s="1"/>
  <c r="K117"/>
  <c r="R117" s="1"/>
  <c r="AD115"/>
  <c r="AC115"/>
  <c r="AA115"/>
  <c r="Y115"/>
  <c r="W115"/>
  <c r="V115"/>
  <c r="E115"/>
  <c r="O114"/>
  <c r="M114"/>
  <c r="K97"/>
  <c r="AE96"/>
  <c r="O96"/>
  <c r="P96" s="1"/>
  <c r="S96" s="1"/>
  <c r="AF96" s="1"/>
  <c r="AG96" s="1"/>
  <c r="M96"/>
  <c r="K95"/>
  <c r="O95" s="1"/>
  <c r="O94"/>
  <c r="M94"/>
  <c r="K93"/>
  <c r="M93" s="1"/>
  <c r="K92"/>
  <c r="R92" s="1"/>
  <c r="K91"/>
  <c r="M91" s="1"/>
  <c r="K90"/>
  <c r="R90" s="1"/>
  <c r="O89"/>
  <c r="M89"/>
  <c r="O88"/>
  <c r="M88"/>
  <c r="AE87"/>
  <c r="O87"/>
  <c r="M87"/>
  <c r="O86"/>
  <c r="M86"/>
  <c r="O85"/>
  <c r="M85"/>
  <c r="O84"/>
  <c r="M84"/>
  <c r="AD82"/>
  <c r="AC82"/>
  <c r="AA82"/>
  <c r="Y82"/>
  <c r="W82"/>
  <c r="V82"/>
  <c r="E82"/>
  <c r="AE81"/>
  <c r="O81"/>
  <c r="M76"/>
  <c r="K76"/>
  <c r="AE75"/>
  <c r="O75"/>
  <c r="M75"/>
  <c r="K75"/>
  <c r="K74"/>
  <c r="O73"/>
  <c r="M73"/>
  <c r="K73"/>
  <c r="K72"/>
  <c r="AD70"/>
  <c r="AC70"/>
  <c r="AA70"/>
  <c r="Y70"/>
  <c r="W70"/>
  <c r="V70"/>
  <c r="U70"/>
  <c r="E70"/>
  <c r="AE69"/>
  <c r="AE58"/>
  <c r="O58"/>
  <c r="K58"/>
  <c r="M58" s="1"/>
  <c r="AE57"/>
  <c r="K57"/>
  <c r="O57" s="1"/>
  <c r="AE56"/>
  <c r="K56"/>
  <c r="R56" s="1"/>
  <c r="AE55"/>
  <c r="M55"/>
  <c r="K55"/>
  <c r="R55" s="1"/>
  <c r="AE54"/>
  <c r="K54"/>
  <c r="M54" s="1"/>
  <c r="AE53"/>
  <c r="O53"/>
  <c r="M53"/>
  <c r="AE52"/>
  <c r="K52"/>
  <c r="R52" s="1"/>
  <c r="AE51"/>
  <c r="K51"/>
  <c r="AE50"/>
  <c r="K50"/>
  <c r="M50" s="1"/>
  <c r="AE49"/>
  <c r="K49"/>
  <c r="R49" s="1"/>
  <c r="AE48"/>
  <c r="K48"/>
  <c r="R48" s="1"/>
  <c r="AE47"/>
  <c r="K47"/>
  <c r="R47" s="1"/>
  <c r="AE46"/>
  <c r="K46"/>
  <c r="O46" s="1"/>
  <c r="AE45"/>
  <c r="K45"/>
  <c r="R45" s="1"/>
  <c r="AE44"/>
  <c r="K44"/>
  <c r="R44" s="1"/>
  <c r="AE43"/>
  <c r="K43"/>
  <c r="M43" s="1"/>
  <c r="AE42"/>
  <c r="O42"/>
  <c r="M42"/>
  <c r="AE41"/>
  <c r="O41"/>
  <c r="M41"/>
  <c r="AE40"/>
  <c r="K40"/>
  <c r="AE39"/>
  <c r="K39"/>
  <c r="O39" s="1"/>
  <c r="AE38"/>
  <c r="K38"/>
  <c r="R38" s="1"/>
  <c r="AE37"/>
  <c r="K37"/>
  <c r="M37" s="1"/>
  <c r="AE36"/>
  <c r="AE70" s="1"/>
  <c r="I256" s="1"/>
  <c r="K36"/>
  <c r="AD34"/>
  <c r="AC34"/>
  <c r="AC145" s="1"/>
  <c r="AB34"/>
  <c r="AA34"/>
  <c r="AA145"/>
  <c r="Z34"/>
  <c r="Y34"/>
  <c r="W34"/>
  <c r="V34"/>
  <c r="E34"/>
  <c r="M32"/>
  <c r="O31"/>
  <c r="M31"/>
  <c r="P31" s="1"/>
  <c r="S31" s="1"/>
  <c r="O30"/>
  <c r="M28"/>
  <c r="O27"/>
  <c r="M27"/>
  <c r="K26"/>
  <c r="K25"/>
  <c r="M25"/>
  <c r="K24"/>
  <c r="K23"/>
  <c r="O23" s="1"/>
  <c r="K22"/>
  <c r="O22" s="1"/>
  <c r="K21"/>
  <c r="K20"/>
  <c r="O20" s="1"/>
  <c r="M20"/>
  <c r="M19"/>
  <c r="K19"/>
  <c r="K18"/>
  <c r="M18"/>
  <c r="K17"/>
  <c r="O17" s="1"/>
  <c r="K16"/>
  <c r="J4"/>
  <c r="J3" s="1"/>
  <c r="I4"/>
  <c r="I3" s="1"/>
  <c r="E149" s="1"/>
  <c r="E151" s="1"/>
  <c r="H4"/>
  <c r="H3" s="1"/>
  <c r="S139"/>
  <c r="S134"/>
  <c r="R104"/>
  <c r="S104" s="1"/>
  <c r="S78"/>
  <c r="R69"/>
  <c r="P65"/>
  <c r="O65"/>
  <c r="R60"/>
  <c r="R63"/>
  <c r="M64"/>
  <c r="P64" s="1"/>
  <c r="S64" s="1"/>
  <c r="R65"/>
  <c r="S66"/>
  <c r="O28"/>
  <c r="O32"/>
  <c r="O33"/>
  <c r="M47"/>
  <c r="O47"/>
  <c r="M92"/>
  <c r="O92"/>
  <c r="M39"/>
  <c r="M72"/>
  <c r="O72"/>
  <c r="O19"/>
  <c r="M40"/>
  <c r="M51"/>
  <c r="O76"/>
  <c r="O25"/>
  <c r="O56"/>
  <c r="O97"/>
  <c r="M124"/>
  <c r="O36"/>
  <c r="M36"/>
  <c r="M56"/>
  <c r="M74"/>
  <c r="M97"/>
  <c r="M122"/>
  <c r="O122"/>
  <c r="M57"/>
  <c r="M90"/>
  <c r="O90"/>
  <c r="O207"/>
  <c r="M16"/>
  <c r="M44"/>
  <c r="M48"/>
  <c r="M81"/>
  <c r="M95"/>
  <c r="M118"/>
  <c r="M120"/>
  <c r="K192"/>
  <c r="E185"/>
  <c r="G185" s="1"/>
  <c r="AF215"/>
  <c r="AG160"/>
  <c r="P187"/>
  <c r="P186" s="1"/>
  <c r="E167"/>
  <c r="O225"/>
  <c r="G210"/>
  <c r="M210" s="1"/>
  <c r="H210" s="1"/>
  <c r="N210" s="1"/>
  <c r="AH160"/>
  <c r="AM160"/>
  <c r="AR160" s="1"/>
  <c r="AS160" s="1"/>
  <c r="J22" i="21"/>
  <c r="I25" i="20"/>
  <c r="G25"/>
  <c r="F25"/>
  <c r="C25"/>
  <c r="J23" i="21"/>
  <c r="L27" i="20"/>
  <c r="M25"/>
  <c r="C22"/>
  <c r="F22"/>
  <c r="F23"/>
  <c r="F19"/>
  <c r="G22"/>
  <c r="G19"/>
  <c r="G23"/>
  <c r="C19"/>
  <c r="C23"/>
  <c r="M24"/>
  <c r="L22"/>
  <c r="I19"/>
  <c r="L19"/>
  <c r="I22"/>
  <c r="K22"/>
  <c r="M23"/>
  <c r="K19"/>
  <c r="S168" i="3" l="1"/>
  <c r="S169" s="1"/>
  <c r="S170" s="1"/>
  <c r="E257"/>
  <c r="D257"/>
  <c r="D258" s="1"/>
  <c r="F155"/>
  <c r="H155" s="1"/>
  <c r="P44"/>
  <c r="S44" s="1"/>
  <c r="M33"/>
  <c r="P33" s="1"/>
  <c r="S33" s="1"/>
  <c r="U33" s="1"/>
  <c r="AE33" s="1"/>
  <c r="M68"/>
  <c r="P68" s="1"/>
  <c r="V145"/>
  <c r="M38"/>
  <c r="M45"/>
  <c r="M46"/>
  <c r="M49"/>
  <c r="P49" s="1"/>
  <c r="S49" s="1"/>
  <c r="H169"/>
  <c r="P77"/>
  <c r="S77" s="1"/>
  <c r="C228"/>
  <c r="F228" s="1"/>
  <c r="M128"/>
  <c r="P81"/>
  <c r="S81" s="1"/>
  <c r="M115"/>
  <c r="F166"/>
  <c r="K115"/>
  <c r="O29"/>
  <c r="R68"/>
  <c r="P100"/>
  <c r="S100" s="1"/>
  <c r="M29"/>
  <c r="P29" s="1"/>
  <c r="W145"/>
  <c r="O37"/>
  <c r="P37" s="1"/>
  <c r="O38"/>
  <c r="O44"/>
  <c r="O45"/>
  <c r="P45" s="1"/>
  <c r="S45" s="1"/>
  <c r="O48"/>
  <c r="P48" s="1"/>
  <c r="S48" s="1"/>
  <c r="O49"/>
  <c r="Y145"/>
  <c r="P84"/>
  <c r="P86"/>
  <c r="S86" s="1"/>
  <c r="U86" s="1"/>
  <c r="AE86" s="1"/>
  <c r="O91"/>
  <c r="O93"/>
  <c r="O118"/>
  <c r="O119"/>
  <c r="P119" s="1"/>
  <c r="S119" s="1"/>
  <c r="P125"/>
  <c r="S125" s="1"/>
  <c r="P127"/>
  <c r="S127" s="1"/>
  <c r="P129"/>
  <c r="S129" s="1"/>
  <c r="U129" s="1"/>
  <c r="AE129" s="1"/>
  <c r="P143"/>
  <c r="S143" s="1"/>
  <c r="AF143" s="1"/>
  <c r="AG143" s="1"/>
  <c r="E152"/>
  <c r="F152" s="1"/>
  <c r="F153"/>
  <c r="H153" s="1"/>
  <c r="H152" s="1"/>
  <c r="AH188"/>
  <c r="AM188" s="1"/>
  <c r="AR188" s="1"/>
  <c r="R30"/>
  <c r="R61"/>
  <c r="S101"/>
  <c r="S109"/>
  <c r="P113"/>
  <c r="S113" s="1"/>
  <c r="R119"/>
  <c r="O117"/>
  <c r="O50"/>
  <c r="O61"/>
  <c r="P61" s="1"/>
  <c r="S61" s="1"/>
  <c r="K70"/>
  <c r="AM159"/>
  <c r="AL215"/>
  <c r="S105"/>
  <c r="E186"/>
  <c r="G186" s="1"/>
  <c r="E161"/>
  <c r="F161" s="1"/>
  <c r="X168" s="1"/>
  <c r="M117"/>
  <c r="P117" s="1"/>
  <c r="K82"/>
  <c r="O115"/>
  <c r="M60"/>
  <c r="P60" s="1"/>
  <c r="S60" s="1"/>
  <c r="S65"/>
  <c r="R79"/>
  <c r="S79" s="1"/>
  <c r="E150"/>
  <c r="G150" s="1"/>
  <c r="P42"/>
  <c r="S42" s="1"/>
  <c r="AF42" s="1"/>
  <c r="AG42" s="1"/>
  <c r="P88"/>
  <c r="S88" s="1"/>
  <c r="AQ214"/>
  <c r="P102"/>
  <c r="S102" s="1"/>
  <c r="R106"/>
  <c r="S106" s="1"/>
  <c r="I23" i="20"/>
  <c r="H19"/>
  <c r="N22"/>
  <c r="K23"/>
  <c r="L23"/>
  <c r="R168" i="3"/>
  <c r="E256"/>
  <c r="H22" i="20"/>
  <c r="H23" s="1"/>
  <c r="N19"/>
  <c r="P55" i="3"/>
  <c r="S55" s="1"/>
  <c r="AR159"/>
  <c r="AU159" s="1"/>
  <c r="AU214" s="1"/>
  <c r="R123"/>
  <c r="O123"/>
  <c r="M123"/>
  <c r="P123" s="1"/>
  <c r="S123" s="1"/>
  <c r="K144"/>
  <c r="U126"/>
  <c r="AE126" s="1"/>
  <c r="AF126" s="1"/>
  <c r="AG126" s="1"/>
  <c r="AF44"/>
  <c r="AG44" s="1"/>
  <c r="U31"/>
  <c r="AE31" s="1"/>
  <c r="AF31" s="1"/>
  <c r="AC153"/>
  <c r="AU160"/>
  <c r="K34"/>
  <c r="M26"/>
  <c r="P26" s="1"/>
  <c r="S26" s="1"/>
  <c r="R26"/>
  <c r="O26"/>
  <c r="S84"/>
  <c r="U125"/>
  <c r="AE125" s="1"/>
  <c r="AF125" s="1"/>
  <c r="U127"/>
  <c r="AE127" s="1"/>
  <c r="AF127" s="1"/>
  <c r="E184"/>
  <c r="G184" s="1"/>
  <c r="F167"/>
  <c r="X172"/>
  <c r="X169"/>
  <c r="X171"/>
  <c r="R21"/>
  <c r="M21"/>
  <c r="O21"/>
  <c r="R24"/>
  <c r="M24"/>
  <c r="P24" s="1"/>
  <c r="O24"/>
  <c r="AF33"/>
  <c r="AG33" s="1"/>
  <c r="H192"/>
  <c r="O192" s="1"/>
  <c r="AS187"/>
  <c r="G168"/>
  <c r="P18"/>
  <c r="S18" s="1"/>
  <c r="R18"/>
  <c r="O18"/>
  <c r="P22"/>
  <c r="R22"/>
  <c r="M22"/>
  <c r="R54"/>
  <c r="O54"/>
  <c r="P54" s="1"/>
  <c r="S54" s="1"/>
  <c r="O210"/>
  <c r="G149"/>
  <c r="M17"/>
  <c r="O16"/>
  <c r="P19"/>
  <c r="R19"/>
  <c r="M153"/>
  <c r="R156" s="1"/>
  <c r="R40"/>
  <c r="O40"/>
  <c r="R51"/>
  <c r="O51"/>
  <c r="P51" s="1"/>
  <c r="S51" s="1"/>
  <c r="P72"/>
  <c r="R72"/>
  <c r="R74"/>
  <c r="O74"/>
  <c r="O82" s="1"/>
  <c r="AF86"/>
  <c r="AG86" s="1"/>
  <c r="P97"/>
  <c r="R97"/>
  <c r="R121"/>
  <c r="O121"/>
  <c r="O144" s="1"/>
  <c r="M121"/>
  <c r="M69"/>
  <c r="O69"/>
  <c r="O62"/>
  <c r="R62"/>
  <c r="M62"/>
  <c r="P62" s="1"/>
  <c r="S62" s="1"/>
  <c r="M82"/>
  <c r="R17"/>
  <c r="R23"/>
  <c r="M23"/>
  <c r="P23" s="1"/>
  <c r="S23" s="1"/>
  <c r="AG215"/>
  <c r="AH215" s="1"/>
  <c r="AM215" s="1"/>
  <c r="R16"/>
  <c r="R20"/>
  <c r="P20"/>
  <c r="P25"/>
  <c r="R25"/>
  <c r="P36"/>
  <c r="P43"/>
  <c r="P53"/>
  <c r="S53" s="1"/>
  <c r="O55"/>
  <c r="P57"/>
  <c r="R73"/>
  <c r="P73"/>
  <c r="S73" s="1"/>
  <c r="P75"/>
  <c r="P76"/>
  <c r="P90"/>
  <c r="S90" s="1"/>
  <c r="P94"/>
  <c r="S94" s="1"/>
  <c r="P114"/>
  <c r="S114" s="1"/>
  <c r="R120"/>
  <c r="P120"/>
  <c r="X165"/>
  <c r="AQ215"/>
  <c r="R32"/>
  <c r="P32"/>
  <c r="P28"/>
  <c r="R28"/>
  <c r="P38"/>
  <c r="S38" s="1"/>
  <c r="P56"/>
  <c r="S56" s="1"/>
  <c r="R75"/>
  <c r="P92"/>
  <c r="S92" s="1"/>
  <c r="S112"/>
  <c r="S141"/>
  <c r="R80"/>
  <c r="P80"/>
  <c r="S103"/>
  <c r="P39"/>
  <c r="S39" s="1"/>
  <c r="P41"/>
  <c r="S41" s="1"/>
  <c r="R46"/>
  <c r="P46"/>
  <c r="S46" s="1"/>
  <c r="R50"/>
  <c r="P50"/>
  <c r="S50" s="1"/>
  <c r="M52"/>
  <c r="M70" s="1"/>
  <c r="P85"/>
  <c r="S85" s="1"/>
  <c r="P87"/>
  <c r="S87" s="1"/>
  <c r="R91"/>
  <c r="P91"/>
  <c r="S91" s="1"/>
  <c r="P93"/>
  <c r="P128"/>
  <c r="R128"/>
  <c r="P130"/>
  <c r="S130" s="1"/>
  <c r="P27"/>
  <c r="S27" s="1"/>
  <c r="R39"/>
  <c r="P47"/>
  <c r="S47" s="1"/>
  <c r="R57"/>
  <c r="R76"/>
  <c r="R93"/>
  <c r="P122"/>
  <c r="S122" s="1"/>
  <c r="S59"/>
  <c r="O67"/>
  <c r="P67" s="1"/>
  <c r="S67" s="1"/>
  <c r="R67"/>
  <c r="P99"/>
  <c r="R99"/>
  <c r="R37"/>
  <c r="R58"/>
  <c r="P58"/>
  <c r="S58" s="1"/>
  <c r="P89"/>
  <c r="S89" s="1"/>
  <c r="R95"/>
  <c r="P95"/>
  <c r="S95" s="1"/>
  <c r="R124"/>
  <c r="P124"/>
  <c r="I172"/>
  <c r="H172"/>
  <c r="AH214"/>
  <c r="AM214" s="1"/>
  <c r="P30"/>
  <c r="R43"/>
  <c r="S98"/>
  <c r="P118"/>
  <c r="S118" s="1"/>
  <c r="S142"/>
  <c r="S110"/>
  <c r="R29"/>
  <c r="F256" l="1"/>
  <c r="P256"/>
  <c r="F257"/>
  <c r="P257"/>
  <c r="N23" i="20"/>
  <c r="S29" i="3"/>
  <c r="AG29" s="1"/>
  <c r="U88"/>
  <c r="AE88" s="1"/>
  <c r="AF88" s="1"/>
  <c r="AG88"/>
  <c r="O243"/>
  <c r="G228"/>
  <c r="M228" s="1"/>
  <c r="M34"/>
  <c r="AR215"/>
  <c r="AS215" s="1"/>
  <c r="AS188"/>
  <c r="S68"/>
  <c r="R144"/>
  <c r="H254" s="1"/>
  <c r="S76"/>
  <c r="U76" s="1"/>
  <c r="AE76" s="1"/>
  <c r="AF76" s="1"/>
  <c r="AG76" s="1"/>
  <c r="S57"/>
  <c r="AF57" s="1"/>
  <c r="AG57" s="1"/>
  <c r="P69"/>
  <c r="S69" s="1"/>
  <c r="P21"/>
  <c r="S21" s="1"/>
  <c r="P74"/>
  <c r="S74" s="1"/>
  <c r="AG31"/>
  <c r="AF129"/>
  <c r="AG129" s="1"/>
  <c r="AF81"/>
  <c r="AG81"/>
  <c r="S30"/>
  <c r="U30" s="1"/>
  <c r="AE30" s="1"/>
  <c r="S124"/>
  <c r="R70"/>
  <c r="H256" s="1"/>
  <c r="P52"/>
  <c r="S52" s="1"/>
  <c r="S93"/>
  <c r="U93" s="1"/>
  <c r="AE93" s="1"/>
  <c r="S80"/>
  <c r="S75"/>
  <c r="P121"/>
  <c r="S121" s="1"/>
  <c r="AF121" s="1"/>
  <c r="AG121" s="1"/>
  <c r="O70"/>
  <c r="S24"/>
  <c r="U24" s="1"/>
  <c r="AE24" s="1"/>
  <c r="AF24" s="1"/>
  <c r="K145"/>
  <c r="R169"/>
  <c r="R170" s="1"/>
  <c r="T170" s="1"/>
  <c r="T168"/>
  <c r="AF23"/>
  <c r="U23"/>
  <c r="AE23" s="1"/>
  <c r="AF51"/>
  <c r="AG51" s="1"/>
  <c r="U21"/>
  <c r="AE21" s="1"/>
  <c r="AF21" s="1"/>
  <c r="AG21" s="1"/>
  <c r="U123"/>
  <c r="AE123" s="1"/>
  <c r="AG123" s="1"/>
  <c r="AF123"/>
  <c r="U29"/>
  <c r="AE29" s="1"/>
  <c r="AF29" s="1"/>
  <c r="U121"/>
  <c r="AE121" s="1"/>
  <c r="U124"/>
  <c r="AE124" s="1"/>
  <c r="AF124" s="1"/>
  <c r="U89"/>
  <c r="AE89" s="1"/>
  <c r="AF89" s="1"/>
  <c r="AG89" s="1"/>
  <c r="AF52"/>
  <c r="AG52"/>
  <c r="AF49"/>
  <c r="AG49" s="1"/>
  <c r="P192"/>
  <c r="AF55"/>
  <c r="AG55" s="1"/>
  <c r="R34"/>
  <c r="P17"/>
  <c r="S17" s="1"/>
  <c r="S19"/>
  <c r="C256"/>
  <c r="G170"/>
  <c r="I168"/>
  <c r="H168"/>
  <c r="S128"/>
  <c r="S28"/>
  <c r="U73"/>
  <c r="AE73" s="1"/>
  <c r="AF73" s="1"/>
  <c r="P40"/>
  <c r="S40" s="1"/>
  <c r="AF118"/>
  <c r="AG118" s="1"/>
  <c r="S117"/>
  <c r="P144"/>
  <c r="U130"/>
  <c r="AE130" s="1"/>
  <c r="AF130" s="1"/>
  <c r="AG130" s="1"/>
  <c r="U85"/>
  <c r="AE85" s="1"/>
  <c r="AF85" s="1"/>
  <c r="AF41"/>
  <c r="AG41" s="1"/>
  <c r="AG38"/>
  <c r="AF38"/>
  <c r="S36"/>
  <c r="P70"/>
  <c r="AF69"/>
  <c r="AG69" s="1"/>
  <c r="S72"/>
  <c r="P82"/>
  <c r="AF54"/>
  <c r="AG54" s="1"/>
  <c r="U18"/>
  <c r="AE18" s="1"/>
  <c r="AF18" s="1"/>
  <c r="AG18" s="1"/>
  <c r="U74"/>
  <c r="AE74" s="1"/>
  <c r="U26"/>
  <c r="AE26" s="1"/>
  <c r="AF26" s="1"/>
  <c r="M144"/>
  <c r="M145" s="1"/>
  <c r="AF58"/>
  <c r="AG58" s="1"/>
  <c r="AF47"/>
  <c r="AG47" s="1"/>
  <c r="U91"/>
  <c r="AE91" s="1"/>
  <c r="AF91"/>
  <c r="AF46"/>
  <c r="AG46" s="1"/>
  <c r="AF39"/>
  <c r="AG39" s="1"/>
  <c r="U92"/>
  <c r="AE92" s="1"/>
  <c r="AF92" s="1"/>
  <c r="AG92" s="1"/>
  <c r="U114"/>
  <c r="AE114" s="1"/>
  <c r="AF114" s="1"/>
  <c r="AG114" s="1"/>
  <c r="AF75"/>
  <c r="AG75" s="1"/>
  <c r="S22"/>
  <c r="N192"/>
  <c r="X173"/>
  <c r="AG125"/>
  <c r="AF48"/>
  <c r="AG48" s="1"/>
  <c r="U95"/>
  <c r="AE95" s="1"/>
  <c r="AF95" s="1"/>
  <c r="AG95" s="1"/>
  <c r="S99"/>
  <c r="R115"/>
  <c r="H253" s="1"/>
  <c r="AF50"/>
  <c r="AG50" s="1"/>
  <c r="U94"/>
  <c r="AE94" s="1"/>
  <c r="AF94" s="1"/>
  <c r="AG94" s="1"/>
  <c r="AF53"/>
  <c r="AG53" s="1"/>
  <c r="S25"/>
  <c r="S97"/>
  <c r="O34"/>
  <c r="P210"/>
  <c r="AG127"/>
  <c r="P115"/>
  <c r="S37"/>
  <c r="U122"/>
  <c r="AE122" s="1"/>
  <c r="AF122"/>
  <c r="AG122" s="1"/>
  <c r="U27"/>
  <c r="AE27" s="1"/>
  <c r="AF27" s="1"/>
  <c r="U119"/>
  <c r="AD119"/>
  <c r="AD144" s="1"/>
  <c r="AD145" s="1"/>
  <c r="AF87"/>
  <c r="AG87" s="1"/>
  <c r="AF45"/>
  <c r="AG45" s="1"/>
  <c r="AF56"/>
  <c r="AG56"/>
  <c r="S32"/>
  <c r="S120"/>
  <c r="U90"/>
  <c r="AE90" s="1"/>
  <c r="S43"/>
  <c r="S20"/>
  <c r="AU215"/>
  <c r="R82"/>
  <c r="H257" s="1"/>
  <c r="H258" s="1"/>
  <c r="P16"/>
  <c r="AR214"/>
  <c r="U84"/>
  <c r="AH153"/>
  <c r="AS159"/>
  <c r="AS214" s="1"/>
  <c r="P258" l="1"/>
  <c r="AG93"/>
  <c r="AG91"/>
  <c r="AF90"/>
  <c r="AG90" s="1"/>
  <c r="AE119"/>
  <c r="AF119" s="1"/>
  <c r="AG119" s="1"/>
  <c r="AF93"/>
  <c r="AG23"/>
  <c r="AF74"/>
  <c r="AG74" s="1"/>
  <c r="O145"/>
  <c r="AG26"/>
  <c r="H228"/>
  <c r="N228" s="1"/>
  <c r="O228"/>
  <c r="P228" s="1"/>
  <c r="T169"/>
  <c r="U168"/>
  <c r="V168"/>
  <c r="V169" s="1"/>
  <c r="AG37"/>
  <c r="AF37"/>
  <c r="AF43"/>
  <c r="AG43"/>
  <c r="AG120"/>
  <c r="AF120"/>
  <c r="AG27"/>
  <c r="U97"/>
  <c r="AE97" s="1"/>
  <c r="AF97" s="1"/>
  <c r="AG97" s="1"/>
  <c r="U22"/>
  <c r="AE22" s="1"/>
  <c r="AF22" s="1"/>
  <c r="AG22" s="1"/>
  <c r="S144"/>
  <c r="G254" s="1"/>
  <c r="U117"/>
  <c r="AF40"/>
  <c r="AG40" s="1"/>
  <c r="U28"/>
  <c r="AE28" s="1"/>
  <c r="AG28" s="1"/>
  <c r="AF28"/>
  <c r="C258"/>
  <c r="AO170"/>
  <c r="AB167"/>
  <c r="AJ161"/>
  <c r="AP161"/>
  <c r="AA167"/>
  <c r="AP167"/>
  <c r="AO161"/>
  <c r="AI167"/>
  <c r="Z170"/>
  <c r="AF170"/>
  <c r="AK170"/>
  <c r="AD170"/>
  <c r="AD167"/>
  <c r="AI170"/>
  <c r="Z167"/>
  <c r="AB170"/>
  <c r="AN167"/>
  <c r="AN161"/>
  <c r="AK161"/>
  <c r="AE167"/>
  <c r="H170"/>
  <c r="AO167"/>
  <c r="AF161"/>
  <c r="AN170"/>
  <c r="AJ170"/>
  <c r="AE170"/>
  <c r="AF167"/>
  <c r="AE161"/>
  <c r="AD161"/>
  <c r="AJ167"/>
  <c r="AP170"/>
  <c r="Z161"/>
  <c r="AI161"/>
  <c r="AA161"/>
  <c r="AB161"/>
  <c r="AK167"/>
  <c r="AA170"/>
  <c r="AR161"/>
  <c r="H252"/>
  <c r="H255" s="1"/>
  <c r="H259" s="1"/>
  <c r="R145"/>
  <c r="AF30"/>
  <c r="AG30" s="1"/>
  <c r="S115"/>
  <c r="G253" s="1"/>
  <c r="U32"/>
  <c r="AE32" s="1"/>
  <c r="AF32" s="1"/>
  <c r="U25"/>
  <c r="AE25" s="1"/>
  <c r="AF25"/>
  <c r="U72"/>
  <c r="S82"/>
  <c r="AF36"/>
  <c r="S70"/>
  <c r="AG36"/>
  <c r="AG85"/>
  <c r="AG73"/>
  <c r="AF128"/>
  <c r="AG128"/>
  <c r="U128"/>
  <c r="AE128" s="1"/>
  <c r="AG124"/>
  <c r="AG24"/>
  <c r="U19"/>
  <c r="AE19" s="1"/>
  <c r="AF19" s="1"/>
  <c r="AG19" s="1"/>
  <c r="AM153"/>
  <c r="AE84"/>
  <c r="S16"/>
  <c r="P34"/>
  <c r="P145" s="1"/>
  <c r="U20"/>
  <c r="AE20" s="1"/>
  <c r="AF20" s="1"/>
  <c r="U17"/>
  <c r="AE17" s="1"/>
  <c r="AF17" s="1"/>
  <c r="U115" l="1"/>
  <c r="AG25"/>
  <c r="W168"/>
  <c r="U169"/>
  <c r="U170" s="1"/>
  <c r="V170" s="1"/>
  <c r="AG32"/>
  <c r="H260"/>
  <c r="AC161"/>
  <c r="AG161"/>
  <c r="AG170" s="1"/>
  <c r="AQ167"/>
  <c r="AG167"/>
  <c r="AC170"/>
  <c r="U16"/>
  <c r="S34"/>
  <c r="AR153"/>
  <c r="AG70"/>
  <c r="AL167"/>
  <c r="AE117"/>
  <c r="U144"/>
  <c r="AG17"/>
  <c r="AG20"/>
  <c r="G256"/>
  <c r="L153"/>
  <c r="R155" s="1"/>
  <c r="N153"/>
  <c r="S155" s="1"/>
  <c r="G257"/>
  <c r="AF156"/>
  <c r="AF155"/>
  <c r="AC167"/>
  <c r="AE115"/>
  <c r="I253" s="1"/>
  <c r="J253" s="1"/>
  <c r="AF84"/>
  <c r="AF115" s="1"/>
  <c r="AF70"/>
  <c r="U82"/>
  <c r="AE72"/>
  <c r="AL161"/>
  <c r="AL170" s="1"/>
  <c r="AQ161"/>
  <c r="AQ170" s="1"/>
  <c r="R171" l="1"/>
  <c r="W169"/>
  <c r="S171"/>
  <c r="S172" s="1"/>
  <c r="AE82"/>
  <c r="AF72"/>
  <c r="AF82" s="1"/>
  <c r="R157"/>
  <c r="T155"/>
  <c r="S145"/>
  <c r="P153"/>
  <c r="U155" s="1"/>
  <c r="G252"/>
  <c r="AF157"/>
  <c r="J256"/>
  <c r="G258"/>
  <c r="AG84"/>
  <c r="AG115" s="1"/>
  <c r="AH167"/>
  <c r="AM167" s="1"/>
  <c r="U34"/>
  <c r="U145" s="1"/>
  <c r="AE16"/>
  <c r="AH161"/>
  <c r="AU161"/>
  <c r="AE144"/>
  <c r="I254" s="1"/>
  <c r="J254" s="1"/>
  <c r="AF117"/>
  <c r="AF144" s="1"/>
  <c r="AT153"/>
  <c r="AR167"/>
  <c r="AS167" s="1"/>
  <c r="AR170"/>
  <c r="AU153"/>
  <c r="AG117" l="1"/>
  <c r="AG144" s="1"/>
  <c r="R172"/>
  <c r="T171"/>
  <c r="S177"/>
  <c r="G166" s="1"/>
  <c r="S173"/>
  <c r="AU167"/>
  <c r="I257"/>
  <c r="O153"/>
  <c r="S156" s="1"/>
  <c r="AR155"/>
  <c r="V155"/>
  <c r="X155"/>
  <c r="AM161"/>
  <c r="AH170"/>
  <c r="G255"/>
  <c r="G259" s="1"/>
  <c r="G260" s="1"/>
  <c r="AE34"/>
  <c r="AF16"/>
  <c r="AF34" s="1"/>
  <c r="AG16"/>
  <c r="AG34" s="1"/>
  <c r="AR183"/>
  <c r="AG72"/>
  <c r="AG82" s="1"/>
  <c r="R173" l="1"/>
  <c r="R177"/>
  <c r="G164" s="1"/>
  <c r="S178"/>
  <c r="S174"/>
  <c r="H166"/>
  <c r="I166"/>
  <c r="T172"/>
  <c r="G188"/>
  <c r="G182" s="1"/>
  <c r="AR154"/>
  <c r="AT154" s="1"/>
  <c r="U172"/>
  <c r="E179"/>
  <c r="AG145"/>
  <c r="AS161"/>
  <c r="AM170"/>
  <c r="T193"/>
  <c r="AF145"/>
  <c r="I252"/>
  <c r="AE145"/>
  <c r="Q153"/>
  <c r="U156" s="1"/>
  <c r="AR210"/>
  <c r="T156"/>
  <c r="S157"/>
  <c r="T157" s="1"/>
  <c r="S193"/>
  <c r="AT155"/>
  <c r="I258"/>
  <c r="J257"/>
  <c r="J258" s="1"/>
  <c r="U174" l="1"/>
  <c r="U173"/>
  <c r="U171"/>
  <c r="U175"/>
  <c r="U177" s="1"/>
  <c r="U178" s="1"/>
  <c r="H164"/>
  <c r="I164"/>
  <c r="R174"/>
  <c r="R178"/>
  <c r="F179"/>
  <c r="E182"/>
  <c r="F182" s="1"/>
  <c r="T158" s="1"/>
  <c r="AR162" s="1"/>
  <c r="F176"/>
  <c r="V172"/>
  <c r="T177"/>
  <c r="T173"/>
  <c r="V156"/>
  <c r="AR211" s="1"/>
  <c r="AT211" s="1"/>
  <c r="AR156"/>
  <c r="X156"/>
  <c r="AR184"/>
  <c r="U157"/>
  <c r="X157" s="1"/>
  <c r="T194"/>
  <c r="T195" s="1"/>
  <c r="U193"/>
  <c r="S194"/>
  <c r="S195" s="1"/>
  <c r="AT210"/>
  <c r="I255"/>
  <c r="I259" s="1"/>
  <c r="I260" s="1"/>
  <c r="J252"/>
  <c r="J255" s="1"/>
  <c r="Z155"/>
  <c r="V157"/>
  <c r="T179"/>
  <c r="T159" l="1"/>
  <c r="H161"/>
  <c r="G161" s="1"/>
  <c r="G163" s="1"/>
  <c r="G162" s="1"/>
  <c r="E178"/>
  <c r="F178" s="1"/>
  <c r="V173"/>
  <c r="W172"/>
  <c r="U188" s="1"/>
  <c r="V188" s="1"/>
  <c r="W188" s="1"/>
  <c r="G171"/>
  <c r="U176"/>
  <c r="V177" s="1"/>
  <c r="T174"/>
  <c r="V174" s="1"/>
  <c r="T178"/>
  <c r="V178" s="1"/>
  <c r="V171"/>
  <c r="E180"/>
  <c r="G189"/>
  <c r="G183" s="1"/>
  <c r="G181" s="1"/>
  <c r="AR217" s="1"/>
  <c r="AR182"/>
  <c r="G165"/>
  <c r="H165" s="1"/>
  <c r="T196"/>
  <c r="AR185"/>
  <c r="P157"/>
  <c r="AR212"/>
  <c r="U194"/>
  <c r="AO164"/>
  <c r="AI162"/>
  <c r="AI164"/>
  <c r="AJ164"/>
  <c r="AT162"/>
  <c r="AL164"/>
  <c r="AH164"/>
  <c r="AM164"/>
  <c r="AF164"/>
  <c r="AK164"/>
  <c r="AE162"/>
  <c r="AD164"/>
  <c r="AE164"/>
  <c r="AO162"/>
  <c r="AA164"/>
  <c r="AQ164"/>
  <c r="AB164"/>
  <c r="AG164"/>
  <c r="AA162"/>
  <c r="AN162"/>
  <c r="Z164"/>
  <c r="AJ162"/>
  <c r="AP162"/>
  <c r="AK162"/>
  <c r="AR164"/>
  <c r="AN164"/>
  <c r="AF162"/>
  <c r="AR163"/>
  <c r="AB162"/>
  <c r="AD162"/>
  <c r="Z162"/>
  <c r="AC164"/>
  <c r="AP164"/>
  <c r="T161"/>
  <c r="T166"/>
  <c r="T164"/>
  <c r="T160"/>
  <c r="U195"/>
  <c r="T186"/>
  <c r="T181"/>
  <c r="T180"/>
  <c r="AA155"/>
  <c r="S196"/>
  <c r="AT156"/>
  <c r="AR157"/>
  <c r="J259"/>
  <c r="AT182" l="1"/>
  <c r="AR209"/>
  <c r="H157"/>
  <c r="J260"/>
  <c r="E183"/>
  <c r="E181" s="1"/>
  <c r="F181" s="1"/>
  <c r="F183" s="1"/>
  <c r="U158" s="1"/>
  <c r="F180"/>
  <c r="U189"/>
  <c r="V189" s="1"/>
  <c r="W189" s="1"/>
  <c r="W171"/>
  <c r="G187"/>
  <c r="H171"/>
  <c r="H173" s="1"/>
  <c r="G173"/>
  <c r="I171"/>
  <c r="J211"/>
  <c r="J213"/>
  <c r="J216"/>
  <c r="J221"/>
  <c r="AR213"/>
  <c r="AT212"/>
  <c r="AS210"/>
  <c r="T162"/>
  <c r="AC162"/>
  <c r="I211"/>
  <c r="I219"/>
  <c r="I220"/>
  <c r="AQ162"/>
  <c r="J214"/>
  <c r="J218"/>
  <c r="I162"/>
  <c r="H162"/>
  <c r="J162"/>
  <c r="G157"/>
  <c r="G160" s="1"/>
  <c r="H160"/>
  <c r="T182"/>
  <c r="AS164"/>
  <c r="S202"/>
  <c r="AT164"/>
  <c r="J215"/>
  <c r="T197"/>
  <c r="T198" s="1"/>
  <c r="T199"/>
  <c r="AR158"/>
  <c r="AT157"/>
  <c r="AR165"/>
  <c r="Z156"/>
  <c r="T167"/>
  <c r="I214"/>
  <c r="AG162"/>
  <c r="I216"/>
  <c r="I222"/>
  <c r="I212"/>
  <c r="J212"/>
  <c r="I215"/>
  <c r="J217"/>
  <c r="H159"/>
  <c r="G159" s="1"/>
  <c r="AR186"/>
  <c r="S197"/>
  <c r="S198" s="1"/>
  <c r="U196"/>
  <c r="S199"/>
  <c r="T187"/>
  <c r="J222"/>
  <c r="I213"/>
  <c r="J220"/>
  <c r="I218"/>
  <c r="I221"/>
  <c r="J219"/>
  <c r="AL162"/>
  <c r="I217"/>
  <c r="AB155"/>
  <c r="AB195" l="1"/>
  <c r="I173"/>
  <c r="AP198"/>
  <c r="AJ195"/>
  <c r="AO189"/>
  <c r="AE198"/>
  <c r="AK189"/>
  <c r="AI189"/>
  <c r="AO195"/>
  <c r="G167"/>
  <c r="AP189"/>
  <c r="Z189"/>
  <c r="AO198"/>
  <c r="AJ189"/>
  <c r="AF189"/>
  <c r="C255"/>
  <c r="AE195"/>
  <c r="AI195"/>
  <c r="AB189"/>
  <c r="AR189"/>
  <c r="AD198"/>
  <c r="Z195"/>
  <c r="AA195"/>
  <c r="AB198"/>
  <c r="AP195"/>
  <c r="AN198"/>
  <c r="AK198"/>
  <c r="AJ198"/>
  <c r="AF195"/>
  <c r="AD195"/>
  <c r="AA189"/>
  <c r="AN189"/>
  <c r="AF198"/>
  <c r="AI198"/>
  <c r="AD189"/>
  <c r="AN195"/>
  <c r="Z198"/>
  <c r="AA198"/>
  <c r="AK195"/>
  <c r="AE189"/>
  <c r="X158"/>
  <c r="V158"/>
  <c r="AR190"/>
  <c r="U159"/>
  <c r="P158"/>
  <c r="U179"/>
  <c r="AR220"/>
  <c r="AR218"/>
  <c r="U198"/>
  <c r="I224"/>
  <c r="K211"/>
  <c r="K212" s="1"/>
  <c r="K213" s="1"/>
  <c r="K214" s="1"/>
  <c r="K215" s="1"/>
  <c r="K216" s="1"/>
  <c r="K217" s="1"/>
  <c r="K218" s="1"/>
  <c r="K219" s="1"/>
  <c r="K220" s="1"/>
  <c r="K221" s="1"/>
  <c r="K222" s="1"/>
  <c r="S222"/>
  <c r="N258" s="1"/>
  <c r="N257" s="1"/>
  <c r="N256" s="1"/>
  <c r="AH162"/>
  <c r="AU162"/>
  <c r="AR177"/>
  <c r="T163"/>
  <c r="AA156"/>
  <c r="S203"/>
  <c r="AT165"/>
  <c r="AT166" s="1"/>
  <c r="AR166"/>
  <c r="J224"/>
  <c r="AC155"/>
  <c r="AD155"/>
  <c r="S219"/>
  <c r="U199"/>
  <c r="U197"/>
  <c r="S200"/>
  <c r="S201" s="1"/>
  <c r="Z157"/>
  <c r="T200"/>
  <c r="C259" l="1"/>
  <c r="C254"/>
  <c r="D255" s="1"/>
  <c r="D259" s="1"/>
  <c r="AQ195"/>
  <c r="AG195"/>
  <c r="AG189"/>
  <c r="V159"/>
  <c r="U166"/>
  <c r="X159"/>
  <c r="X160" s="1"/>
  <c r="U160"/>
  <c r="U161"/>
  <c r="U164"/>
  <c r="AL198"/>
  <c r="AQ198"/>
  <c r="AC195"/>
  <c r="AL195"/>
  <c r="AO216"/>
  <c r="Z216"/>
  <c r="I167"/>
  <c r="AR216"/>
  <c r="AT209" s="1"/>
  <c r="AF216"/>
  <c r="H167"/>
  <c r="AP216"/>
  <c r="AD216"/>
  <c r="AJ216"/>
  <c r="AK216"/>
  <c r="AB216"/>
  <c r="AN216"/>
  <c r="AA216"/>
  <c r="AI216"/>
  <c r="AE216"/>
  <c r="AR221"/>
  <c r="AT220"/>
  <c r="AS212"/>
  <c r="AP192"/>
  <c r="Z190"/>
  <c r="AJ190"/>
  <c r="AD190"/>
  <c r="AE192"/>
  <c r="AE190"/>
  <c r="AR191"/>
  <c r="AR193"/>
  <c r="Z192"/>
  <c r="AI190"/>
  <c r="AO190"/>
  <c r="AF190"/>
  <c r="AB190"/>
  <c r="AA192"/>
  <c r="AP190"/>
  <c r="AN192"/>
  <c r="AJ192"/>
  <c r="AO192"/>
  <c r="AA190"/>
  <c r="AI192"/>
  <c r="AD192"/>
  <c r="AK190"/>
  <c r="AN190"/>
  <c r="AF192"/>
  <c r="AB192"/>
  <c r="AK192"/>
  <c r="AC198"/>
  <c r="AH198" s="1"/>
  <c r="AM198" s="1"/>
  <c r="AR198" s="1"/>
  <c r="AG198"/>
  <c r="U186"/>
  <c r="X179"/>
  <c r="X180" s="1"/>
  <c r="V179"/>
  <c r="V180" s="1"/>
  <c r="U181"/>
  <c r="U180"/>
  <c r="AQ189"/>
  <c r="AT183"/>
  <c r="AI183" s="1"/>
  <c r="AT184"/>
  <c r="AT185"/>
  <c r="C260"/>
  <c r="Z184"/>
  <c r="AC189"/>
  <c r="AL189"/>
  <c r="K224"/>
  <c r="U200"/>
  <c r="AA157"/>
  <c r="AB156"/>
  <c r="AE155"/>
  <c r="AG155" s="1"/>
  <c r="AH155" s="1"/>
  <c r="T201"/>
  <c r="U201" s="1"/>
  <c r="AT177"/>
  <c r="S218"/>
  <c r="AM162"/>
  <c r="AI155" l="1"/>
  <c r="AA217"/>
  <c r="I230"/>
  <c r="I194" s="1"/>
  <c r="AH189"/>
  <c r="AM189" s="1"/>
  <c r="AS189" s="1"/>
  <c r="AU189"/>
  <c r="J237"/>
  <c r="J201" s="1"/>
  <c r="AK219"/>
  <c r="AK217"/>
  <c r="I237"/>
  <c r="I201" s="1"/>
  <c r="J239"/>
  <c r="J203" s="1"/>
  <c r="AO219"/>
  <c r="J230"/>
  <c r="J194" s="1"/>
  <c r="AA219"/>
  <c r="AI217"/>
  <c r="I236"/>
  <c r="I200" s="1"/>
  <c r="AL190"/>
  <c r="AE217"/>
  <c r="I233"/>
  <c r="I197" s="1"/>
  <c r="I229"/>
  <c r="Z217"/>
  <c r="AC190"/>
  <c r="AQ216"/>
  <c r="AG216"/>
  <c r="X164"/>
  <c r="V164"/>
  <c r="P164" s="1"/>
  <c r="U167"/>
  <c r="V166"/>
  <c r="X166"/>
  <c r="Z183"/>
  <c r="AA183" s="1"/>
  <c r="U187"/>
  <c r="X186"/>
  <c r="V186"/>
  <c r="J231"/>
  <c r="J195" s="1"/>
  <c r="AB219"/>
  <c r="J232"/>
  <c r="J196" s="1"/>
  <c r="AD219"/>
  <c r="AG192"/>
  <c r="AG219" s="1"/>
  <c r="J235"/>
  <c r="J199" s="1"/>
  <c r="AJ219"/>
  <c r="AB217"/>
  <c r="I231"/>
  <c r="I195" s="1"/>
  <c r="Z219"/>
  <c r="J229"/>
  <c r="AC192"/>
  <c r="J233"/>
  <c r="J197" s="1"/>
  <c r="AE219"/>
  <c r="J240"/>
  <c r="J204" s="1"/>
  <c r="AP219"/>
  <c r="AH195"/>
  <c r="AM195" s="1"/>
  <c r="AR195" s="1"/>
  <c r="AS195" s="1"/>
  <c r="U162"/>
  <c r="X161"/>
  <c r="V161"/>
  <c r="P165"/>
  <c r="V160"/>
  <c r="AD183"/>
  <c r="AQ190"/>
  <c r="I238"/>
  <c r="I202" s="1"/>
  <c r="AN217"/>
  <c r="AP217"/>
  <c r="I240"/>
  <c r="I204" s="1"/>
  <c r="AO217"/>
  <c r="I239"/>
  <c r="I203" s="1"/>
  <c r="AJ217"/>
  <c r="I235"/>
  <c r="I199" s="1"/>
  <c r="AJ183"/>
  <c r="AK183" s="1"/>
  <c r="Z211"/>
  <c r="U182"/>
  <c r="V181"/>
  <c r="P181" s="1"/>
  <c r="X181"/>
  <c r="J234"/>
  <c r="J198" s="1"/>
  <c r="AF219"/>
  <c r="AI219"/>
  <c r="J236"/>
  <c r="J200" s="1"/>
  <c r="AL192"/>
  <c r="AL219" s="1"/>
  <c r="AN219"/>
  <c r="J238"/>
  <c r="J202" s="1"/>
  <c r="AQ192"/>
  <c r="AQ219" s="1"/>
  <c r="AF217"/>
  <c r="I234"/>
  <c r="I198" s="1"/>
  <c r="AS217"/>
  <c r="AT193"/>
  <c r="T203"/>
  <c r="AR194"/>
  <c r="I232"/>
  <c r="I196" s="1"/>
  <c r="AG190"/>
  <c r="AD217"/>
  <c r="AG217" s="1"/>
  <c r="AL216"/>
  <c r="AC216"/>
  <c r="AA184"/>
  <c r="Z177"/>
  <c r="AJ155"/>
  <c r="AC156"/>
  <c r="AD156"/>
  <c r="AE156" s="1"/>
  <c r="AB157"/>
  <c r="AI210"/>
  <c r="AS162"/>
  <c r="AL217" l="1"/>
  <c r="U163"/>
  <c r="X167"/>
  <c r="V167"/>
  <c r="U203"/>
  <c r="P163"/>
  <c r="P185"/>
  <c r="T185"/>
  <c r="U185"/>
  <c r="AR203" s="1"/>
  <c r="AR205"/>
  <c r="V187"/>
  <c r="AR230" s="1"/>
  <c r="X187"/>
  <c r="AB183"/>
  <c r="AU190"/>
  <c r="AH190"/>
  <c r="AM190" s="1"/>
  <c r="AU216"/>
  <c r="AH216"/>
  <c r="AM216" s="1"/>
  <c r="AE183"/>
  <c r="AD210"/>
  <c r="AU195"/>
  <c r="AC217"/>
  <c r="AB184"/>
  <c r="AB211" s="1"/>
  <c r="AA211"/>
  <c r="V182"/>
  <c r="P182" s="1"/>
  <c r="X182"/>
  <c r="V162"/>
  <c r="X162"/>
  <c r="J193"/>
  <c r="J206" s="1"/>
  <c r="J242"/>
  <c r="T184"/>
  <c r="U184"/>
  <c r="AR201" s="1"/>
  <c r="AL183"/>
  <c r="AQ217"/>
  <c r="AA210"/>
  <c r="AA185"/>
  <c r="AH192"/>
  <c r="AC219"/>
  <c r="Z185"/>
  <c r="Z210"/>
  <c r="I242"/>
  <c r="I193"/>
  <c r="K229"/>
  <c r="K230" s="1"/>
  <c r="K231" s="1"/>
  <c r="K232" s="1"/>
  <c r="K233" s="1"/>
  <c r="K234" s="1"/>
  <c r="K235" s="1"/>
  <c r="K236" s="1"/>
  <c r="K237" s="1"/>
  <c r="K238" s="1"/>
  <c r="K239" s="1"/>
  <c r="K240" s="1"/>
  <c r="AG156"/>
  <c r="AH156" s="1"/>
  <c r="AD157"/>
  <c r="AI156"/>
  <c r="AS190"/>
  <c r="AC211"/>
  <c r="AA177"/>
  <c r="AJ210"/>
  <c r="AK155"/>
  <c r="AC157"/>
  <c r="AE157"/>
  <c r="U183" l="1"/>
  <c r="AR199" s="1"/>
  <c r="K242"/>
  <c r="AC184"/>
  <c r="I206"/>
  <c r="K206" s="1"/>
  <c r="K193"/>
  <c r="K194" s="1"/>
  <c r="K195" s="1"/>
  <c r="K196" s="1"/>
  <c r="K197" s="1"/>
  <c r="K198" s="1"/>
  <c r="K199" s="1"/>
  <c r="K200" s="1"/>
  <c r="K201" s="1"/>
  <c r="K202" s="1"/>
  <c r="K203" s="1"/>
  <c r="K204" s="1"/>
  <c r="X184"/>
  <c r="V184"/>
  <c r="P184" s="1"/>
  <c r="AR173"/>
  <c r="AA212"/>
  <c r="AB185"/>
  <c r="AC185" s="1"/>
  <c r="AB210"/>
  <c r="AB212" s="1"/>
  <c r="X185"/>
  <c r="T183"/>
  <c r="V185"/>
  <c r="AR175"/>
  <c r="Z212"/>
  <c r="AM192"/>
  <c r="AH219"/>
  <c r="AD184"/>
  <c r="AU217"/>
  <c r="AH217"/>
  <c r="AM217" s="1"/>
  <c r="AE210"/>
  <c r="AF183"/>
  <c r="AT230"/>
  <c r="AR231"/>
  <c r="X163"/>
  <c r="V163"/>
  <c r="AT199"/>
  <c r="T212"/>
  <c r="AR196"/>
  <c r="AT203"/>
  <c r="T215"/>
  <c r="AR204"/>
  <c r="AC183"/>
  <c r="AR202"/>
  <c r="T209"/>
  <c r="AT201"/>
  <c r="T218"/>
  <c r="U218" s="1"/>
  <c r="AT205"/>
  <c r="AS228"/>
  <c r="AE184"/>
  <c r="AE185" s="1"/>
  <c r="AI157"/>
  <c r="AJ156"/>
  <c r="AG157"/>
  <c r="AK210"/>
  <c r="AN155"/>
  <c r="AL155"/>
  <c r="AB177"/>
  <c r="AD177" s="1"/>
  <c r="AE177" s="1"/>
  <c r="AC212" l="1"/>
  <c r="AR206"/>
  <c r="AR178"/>
  <c r="AR174"/>
  <c r="AU174" s="1"/>
  <c r="AR226"/>
  <c r="AT173"/>
  <c r="S209"/>
  <c r="AS224"/>
  <c r="T210"/>
  <c r="T211" s="1"/>
  <c r="T213"/>
  <c r="T214" s="1"/>
  <c r="AE211"/>
  <c r="AE212" s="1"/>
  <c r="T216"/>
  <c r="T217" s="1"/>
  <c r="Z199"/>
  <c r="AA199"/>
  <c r="AG183"/>
  <c r="AH183" s="1"/>
  <c r="AM183" s="1"/>
  <c r="AF210"/>
  <c r="AG210" s="1"/>
  <c r="Z201"/>
  <c r="AA201"/>
  <c r="T206"/>
  <c r="AR197"/>
  <c r="AT196"/>
  <c r="Z205"/>
  <c r="AM219"/>
  <c r="AR219" s="1"/>
  <c r="AS219" s="1"/>
  <c r="AR192"/>
  <c r="AT175"/>
  <c r="Z175" s="1"/>
  <c r="S215"/>
  <c r="AR176"/>
  <c r="AR228"/>
  <c r="AF184"/>
  <c r="Z203"/>
  <c r="AA203" s="1"/>
  <c r="AD185"/>
  <c r="AD211"/>
  <c r="AC210"/>
  <c r="X183"/>
  <c r="AR171"/>
  <c r="V183"/>
  <c r="P183" s="1"/>
  <c r="P179" s="1"/>
  <c r="AN183"/>
  <c r="AM155"/>
  <c r="AC177"/>
  <c r="AH157"/>
  <c r="AJ157"/>
  <c r="AO155"/>
  <c r="AP155" s="1"/>
  <c r="AL210"/>
  <c r="AK156"/>
  <c r="AL156" s="1"/>
  <c r="AF177"/>
  <c r="AG177" s="1"/>
  <c r="AH210" l="1"/>
  <c r="AB203"/>
  <c r="AC203" s="1"/>
  <c r="AR168"/>
  <c r="AR224"/>
  <c r="S212"/>
  <c r="AT171"/>
  <c r="AK196"/>
  <c r="AN196"/>
  <c r="AD196"/>
  <c r="AJ196"/>
  <c r="AA196"/>
  <c r="AP196"/>
  <c r="Z196"/>
  <c r="AE196"/>
  <c r="AB196"/>
  <c r="AI196"/>
  <c r="AO196"/>
  <c r="AF196"/>
  <c r="U209"/>
  <c r="S210"/>
  <c r="AF211"/>
  <c r="AR172"/>
  <c r="AR200"/>
  <c r="AF212"/>
  <c r="AB199"/>
  <c r="AC199" s="1"/>
  <c r="AT174"/>
  <c r="Z173"/>
  <c r="AG211"/>
  <c r="AH211" s="1"/>
  <c r="AD212"/>
  <c r="AA175"/>
  <c r="AB175" s="1"/>
  <c r="Z228"/>
  <c r="Z230"/>
  <c r="AT228"/>
  <c r="AR229"/>
  <c r="T202"/>
  <c r="AS192"/>
  <c r="AO183"/>
  <c r="AN210"/>
  <c r="AG184"/>
  <c r="U215"/>
  <c r="S216"/>
  <c r="AA205"/>
  <c r="AB205" s="1"/>
  <c r="AD205" s="1"/>
  <c r="AD230" s="1"/>
  <c r="T207"/>
  <c r="T204" s="1"/>
  <c r="T208"/>
  <c r="T205" s="1"/>
  <c r="T221" s="1"/>
  <c r="M255" s="1"/>
  <c r="AB201"/>
  <c r="AF185"/>
  <c r="AG185" s="1"/>
  <c r="AI184"/>
  <c r="AR227"/>
  <c r="AU227" s="1"/>
  <c r="AT226"/>
  <c r="AN156"/>
  <c r="AO156" s="1"/>
  <c r="AK157"/>
  <c r="AL157" s="1"/>
  <c r="AM210"/>
  <c r="AQ155"/>
  <c r="AM156"/>
  <c r="AH177"/>
  <c r="AI177"/>
  <c r="T220" l="1"/>
  <c r="K255"/>
  <c r="AA193"/>
  <c r="AA202" s="1"/>
  <c r="AD203"/>
  <c r="AB228"/>
  <c r="AC175"/>
  <c r="AA197"/>
  <c r="AA207"/>
  <c r="AA208" s="1"/>
  <c r="AA235" s="1"/>
  <c r="AA182"/>
  <c r="E230"/>
  <c r="U212"/>
  <c r="S213"/>
  <c r="S217"/>
  <c r="U217" s="1"/>
  <c r="U216"/>
  <c r="AB230"/>
  <c r="AD199"/>
  <c r="Z193"/>
  <c r="AC196"/>
  <c r="Z197"/>
  <c r="AG196"/>
  <c r="AT168"/>
  <c r="AR169"/>
  <c r="S206"/>
  <c r="AH185"/>
  <c r="AC201"/>
  <c r="AB193"/>
  <c r="AB197" s="1"/>
  <c r="AP183"/>
  <c r="AP210" s="1"/>
  <c r="AA173"/>
  <c r="Z226"/>
  <c r="S211"/>
  <c r="U211" s="1"/>
  <c r="U210"/>
  <c r="AS222"/>
  <c r="AR225"/>
  <c r="AT224"/>
  <c r="AR222"/>
  <c r="AA228"/>
  <c r="AC228" s="1"/>
  <c r="AD175"/>
  <c r="AD201"/>
  <c r="AE201" s="1"/>
  <c r="AO210"/>
  <c r="AI185"/>
  <c r="AI211"/>
  <c r="AA230"/>
  <c r="AC230" s="1"/>
  <c r="AA206"/>
  <c r="AE205"/>
  <c r="AJ184"/>
  <c r="AH184"/>
  <c r="AA204"/>
  <c r="T219"/>
  <c r="T222"/>
  <c r="U202"/>
  <c r="AC205"/>
  <c r="AG212"/>
  <c r="AH212" s="1"/>
  <c r="AA200"/>
  <c r="AL196"/>
  <c r="AQ196"/>
  <c r="Z171"/>
  <c r="AT172"/>
  <c r="AE203"/>
  <c r="AO157"/>
  <c r="AS155"/>
  <c r="AU155"/>
  <c r="AM157"/>
  <c r="AJ177"/>
  <c r="AN157"/>
  <c r="AP156"/>
  <c r="AB200" l="1"/>
  <c r="AF201"/>
  <c r="AI201" s="1"/>
  <c r="AJ201" s="1"/>
  <c r="AF203"/>
  <c r="AG203" s="1"/>
  <c r="AH203" s="1"/>
  <c r="AE230"/>
  <c r="AF205"/>
  <c r="AI205" s="1"/>
  <c r="AJ205" s="1"/>
  <c r="AJ230" s="1"/>
  <c r="AE199"/>
  <c r="AD193"/>
  <c r="S214"/>
  <c r="U213"/>
  <c r="AD228"/>
  <c r="AE175"/>
  <c r="AA226"/>
  <c r="AB173"/>
  <c r="AF199"/>
  <c r="AI199" s="1"/>
  <c r="AI212"/>
  <c r="AQ210"/>
  <c r="AU210" s="1"/>
  <c r="AS220"/>
  <c r="AR223"/>
  <c r="AT222"/>
  <c r="AA186"/>
  <c r="AA191"/>
  <c r="L230"/>
  <c r="D230" s="1"/>
  <c r="O230" s="1"/>
  <c r="AA194"/>
  <c r="AK168"/>
  <c r="AK222" s="1"/>
  <c r="AO168"/>
  <c r="AO222" s="1"/>
  <c r="AE168"/>
  <c r="AE222" s="1"/>
  <c r="AN168"/>
  <c r="AP168"/>
  <c r="AP222" s="1"/>
  <c r="AB168"/>
  <c r="AT169"/>
  <c r="AF168"/>
  <c r="AF222" s="1"/>
  <c r="Z168"/>
  <c r="AI168"/>
  <c r="AA168"/>
  <c r="AJ168"/>
  <c r="AJ222" s="1"/>
  <c r="AD168"/>
  <c r="AA171"/>
  <c r="Z224"/>
  <c r="AB171"/>
  <c r="N255"/>
  <c r="U222"/>
  <c r="AB207"/>
  <c r="AB208" s="1"/>
  <c r="AB235" s="1"/>
  <c r="E231"/>
  <c r="AB182"/>
  <c r="AB194" s="1"/>
  <c r="AB204"/>
  <c r="AB202"/>
  <c r="E229"/>
  <c r="G229" s="1"/>
  <c r="M229" s="1"/>
  <c r="Z182"/>
  <c r="AC193"/>
  <c r="Z207"/>
  <c r="Z202"/>
  <c r="Z204"/>
  <c r="Z200"/>
  <c r="Z206"/>
  <c r="AB206"/>
  <c r="AU196"/>
  <c r="AH196"/>
  <c r="AM196" s="1"/>
  <c r="AC171"/>
  <c r="AS196"/>
  <c r="U219"/>
  <c r="X210" s="1"/>
  <c r="AJ185"/>
  <c r="AJ211"/>
  <c r="AJ212" s="1"/>
  <c r="AK184"/>
  <c r="AN184" s="1"/>
  <c r="AG201"/>
  <c r="AH201" s="1"/>
  <c r="AD202"/>
  <c r="S207"/>
  <c r="S208" s="1"/>
  <c r="U206"/>
  <c r="AQ183"/>
  <c r="T223"/>
  <c r="AP157"/>
  <c r="AQ156"/>
  <c r="AK177"/>
  <c r="AQ157"/>
  <c r="N252" l="1"/>
  <c r="N253"/>
  <c r="AG205"/>
  <c r="AH205" s="1"/>
  <c r="AI203"/>
  <c r="AI193" s="1"/>
  <c r="AI200" s="1"/>
  <c r="AK201"/>
  <c r="AN201" s="1"/>
  <c r="AO201" s="1"/>
  <c r="AN185"/>
  <c r="AN211"/>
  <c r="AN212" s="1"/>
  <c r="AC197"/>
  <c r="AC204"/>
  <c r="AC200"/>
  <c r="N259"/>
  <c r="O255"/>
  <c r="L255" s="1"/>
  <c r="AF175"/>
  <c r="AF228" s="1"/>
  <c r="AE228"/>
  <c r="U214"/>
  <c r="X214" s="1"/>
  <c r="V214"/>
  <c r="U207"/>
  <c r="X207" s="1"/>
  <c r="S204"/>
  <c r="K258" s="1"/>
  <c r="V207"/>
  <c r="W219"/>
  <c r="L229"/>
  <c r="D229" s="1"/>
  <c r="Z191"/>
  <c r="Z186"/>
  <c r="AC182"/>
  <c r="AC194" s="1"/>
  <c r="AB224"/>
  <c r="AS183"/>
  <c r="AU183"/>
  <c r="AK185"/>
  <c r="AL185" s="1"/>
  <c r="AK211"/>
  <c r="AL184"/>
  <c r="V217"/>
  <c r="Z194"/>
  <c r="AA222"/>
  <c r="AA165"/>
  <c r="AF193"/>
  <c r="AF200" s="1"/>
  <c r="V213"/>
  <c r="AG199"/>
  <c r="AI230"/>
  <c r="AK205"/>
  <c r="AL205" s="1"/>
  <c r="AM205" s="1"/>
  <c r="U208"/>
  <c r="X208" s="1"/>
  <c r="S205"/>
  <c r="V208"/>
  <c r="V193"/>
  <c r="V194"/>
  <c r="X194"/>
  <c r="W197"/>
  <c r="W198"/>
  <c r="V201"/>
  <c r="V200"/>
  <c r="W200"/>
  <c r="W201"/>
  <c r="W216"/>
  <c r="W213"/>
  <c r="W214"/>
  <c r="W208"/>
  <c r="W204"/>
  <c r="V210"/>
  <c r="W221"/>
  <c r="W195"/>
  <c r="W196"/>
  <c r="V199"/>
  <c r="W199"/>
  <c r="V222"/>
  <c r="W218"/>
  <c r="X200"/>
  <c r="W211"/>
  <c r="X218"/>
  <c r="V216"/>
  <c r="V195"/>
  <c r="X198"/>
  <c r="W206"/>
  <c r="X209"/>
  <c r="V206"/>
  <c r="W194"/>
  <c r="V202"/>
  <c r="X199"/>
  <c r="V203"/>
  <c r="W217"/>
  <c r="V209"/>
  <c r="X215"/>
  <c r="W202"/>
  <c r="X217"/>
  <c r="X202"/>
  <c r="V212"/>
  <c r="X219"/>
  <c r="X195"/>
  <c r="V197"/>
  <c r="V219"/>
  <c r="W212"/>
  <c r="V218"/>
  <c r="W207"/>
  <c r="V211"/>
  <c r="W220"/>
  <c r="W193"/>
  <c r="V196"/>
  <c r="V198"/>
  <c r="W203"/>
  <c r="X201"/>
  <c r="W209"/>
  <c r="V215"/>
  <c r="W205"/>
  <c r="W222"/>
  <c r="X193"/>
  <c r="X196"/>
  <c r="W215"/>
  <c r="X197"/>
  <c r="X203"/>
  <c r="W210"/>
  <c r="X212"/>
  <c r="AD222"/>
  <c r="AG222" s="1"/>
  <c r="AG168"/>
  <c r="Z165"/>
  <c r="Z222"/>
  <c r="AC168"/>
  <c r="AB226"/>
  <c r="AD173"/>
  <c r="AO184"/>
  <c r="AB191"/>
  <c r="L231"/>
  <c r="D231" s="1"/>
  <c r="O231" s="1"/>
  <c r="AB186"/>
  <c r="AQ168"/>
  <c r="AN222"/>
  <c r="AQ222" s="1"/>
  <c r="AC173"/>
  <c r="E232"/>
  <c r="AD182"/>
  <c r="AD197"/>
  <c r="AD207"/>
  <c r="AD206"/>
  <c r="AD204"/>
  <c r="AD200"/>
  <c r="X211"/>
  <c r="AI175"/>
  <c r="X206"/>
  <c r="AC202"/>
  <c r="AP184"/>
  <c r="AC206"/>
  <c r="Z208"/>
  <c r="Z235" s="1"/>
  <c r="AC207"/>
  <c r="X222"/>
  <c r="N260"/>
  <c r="AA224"/>
  <c r="AD171"/>
  <c r="AI222"/>
  <c r="AL222" s="1"/>
  <c r="AL168"/>
  <c r="AB165"/>
  <c r="AB172" s="1"/>
  <c r="AB222"/>
  <c r="X216"/>
  <c r="X213"/>
  <c r="AJ199"/>
  <c r="AE193"/>
  <c r="AG193" s="1"/>
  <c r="AN205"/>
  <c r="AF230"/>
  <c r="AG230" s="1"/>
  <c r="AH230" s="1"/>
  <c r="AF204"/>
  <c r="AJ203"/>
  <c r="AG228"/>
  <c r="AS157"/>
  <c r="AU157"/>
  <c r="AK230"/>
  <c r="AN177"/>
  <c r="AO177" s="1"/>
  <c r="AL177"/>
  <c r="AI228"/>
  <c r="AL230"/>
  <c r="AS156"/>
  <c r="AU156"/>
  <c r="AB220" l="1"/>
  <c r="AB229" s="1"/>
  <c r="AB231"/>
  <c r="N254"/>
  <c r="AG202"/>
  <c r="AH193"/>
  <c r="AH197" s="1"/>
  <c r="K259"/>
  <c r="AE200"/>
  <c r="E255"/>
  <c r="F255" s="1"/>
  <c r="AQ184"/>
  <c r="AF206"/>
  <c r="AH202"/>
  <c r="AP201"/>
  <c r="AQ201" s="1"/>
  <c r="AS201" s="1"/>
  <c r="AB227"/>
  <c r="AO205"/>
  <c r="AL201"/>
  <c r="AM201" s="1"/>
  <c r="AH204"/>
  <c r="AH206"/>
  <c r="AP205"/>
  <c r="AD208"/>
  <c r="AD235" s="1"/>
  <c r="E211"/>
  <c r="Z174"/>
  <c r="Z172"/>
  <c r="Z179"/>
  <c r="Z176"/>
  <c r="AC165"/>
  <c r="AC178" s="1"/>
  <c r="Z154"/>
  <c r="Z166" s="1"/>
  <c r="Z178"/>
  <c r="AU184"/>
  <c r="AM184"/>
  <c r="AK203"/>
  <c r="AL203" s="1"/>
  <c r="AM203" s="1"/>
  <c r="AU168"/>
  <c r="AH168"/>
  <c r="AM168" s="1"/>
  <c r="AS168" s="1"/>
  <c r="AC226"/>
  <c r="AA220"/>
  <c r="AK212"/>
  <c r="AL212" s="1"/>
  <c r="AM212" s="1"/>
  <c r="AL211"/>
  <c r="AM211" s="1"/>
  <c r="AC224"/>
  <c r="AG197"/>
  <c r="AG206"/>
  <c r="AG204"/>
  <c r="AD194"/>
  <c r="AD191"/>
  <c r="AD186"/>
  <c r="L232"/>
  <c r="D232" s="1"/>
  <c r="O232" s="1"/>
  <c r="AD226"/>
  <c r="Z169"/>
  <c r="AH199"/>
  <c r="AG200"/>
  <c r="AM185"/>
  <c r="AG175"/>
  <c r="AH175" s="1"/>
  <c r="U204"/>
  <c r="S220"/>
  <c r="V204"/>
  <c r="AJ193"/>
  <c r="AJ204" s="1"/>
  <c r="AD224"/>
  <c r="AD165"/>
  <c r="AE171"/>
  <c r="AP185"/>
  <c r="AP211"/>
  <c r="AP212" s="1"/>
  <c r="AA169"/>
  <c r="AA179"/>
  <c r="AA178"/>
  <c r="AA176"/>
  <c r="AA154"/>
  <c r="E212"/>
  <c r="E194" s="1"/>
  <c r="AA174"/>
  <c r="AC191"/>
  <c r="AB209"/>
  <c r="AB174"/>
  <c r="E213"/>
  <c r="E195" s="1"/>
  <c r="AB154"/>
  <c r="AB179"/>
  <c r="AB178"/>
  <c r="AB176"/>
  <c r="AB166"/>
  <c r="AA172"/>
  <c r="AC208"/>
  <c r="AC235" s="1"/>
  <c r="AJ175"/>
  <c r="AJ228" s="1"/>
  <c r="AI204"/>
  <c r="AI197"/>
  <c r="AI207"/>
  <c r="AI208" s="1"/>
  <c r="AI235" s="1"/>
  <c r="AI182"/>
  <c r="E236"/>
  <c r="AI202"/>
  <c r="AB223"/>
  <c r="AO185"/>
  <c r="AO211"/>
  <c r="AO212" s="1"/>
  <c r="AQ211"/>
  <c r="AU211" s="1"/>
  <c r="AB225"/>
  <c r="E233"/>
  <c r="AE207"/>
  <c r="AE208" s="1"/>
  <c r="AE235" s="1"/>
  <c r="AE202"/>
  <c r="AE197"/>
  <c r="AE182"/>
  <c r="AE204"/>
  <c r="AE206"/>
  <c r="AB169"/>
  <c r="AE173"/>
  <c r="AF173" s="1"/>
  <c r="AF226" s="1"/>
  <c r="AC222"/>
  <c r="Z223"/>
  <c r="Z220"/>
  <c r="V205"/>
  <c r="U205"/>
  <c r="X205" s="1"/>
  <c r="S221"/>
  <c r="M258" s="1"/>
  <c r="O258" s="1"/>
  <c r="AI206"/>
  <c r="AK199"/>
  <c r="AL199" s="1"/>
  <c r="AF182"/>
  <c r="AF197"/>
  <c r="E234"/>
  <c r="AF207"/>
  <c r="AF208" s="1"/>
  <c r="AF235" s="1"/>
  <c r="AF202"/>
  <c r="O229"/>
  <c r="H229"/>
  <c r="AM230"/>
  <c r="AM177"/>
  <c r="AB218"/>
  <c r="AB213"/>
  <c r="AN230"/>
  <c r="AB221"/>
  <c r="AO230"/>
  <c r="AP177"/>
  <c r="AQ205"/>
  <c r="AH228"/>
  <c r="E258" l="1"/>
  <c r="F258" s="1"/>
  <c r="O256"/>
  <c r="O257"/>
  <c r="L258"/>
  <c r="X204"/>
  <c r="K260"/>
  <c r="M257"/>
  <c r="M256" s="1"/>
  <c r="M259"/>
  <c r="AQ185"/>
  <c r="AS185" s="1"/>
  <c r="S223"/>
  <c r="O252"/>
  <c r="O253"/>
  <c r="P229"/>
  <c r="AN199"/>
  <c r="AO199" s="1"/>
  <c r="AQ212"/>
  <c r="AS184"/>
  <c r="AK175"/>
  <c r="AK228" s="1"/>
  <c r="AL228" s="1"/>
  <c r="AU200"/>
  <c r="V221"/>
  <c r="U221"/>
  <c r="X221" s="1"/>
  <c r="AE194"/>
  <c r="L233"/>
  <c r="D233" s="1"/>
  <c r="O233" s="1"/>
  <c r="AE191"/>
  <c r="AE186"/>
  <c r="AE224"/>
  <c r="AE165"/>
  <c r="AE172" s="1"/>
  <c r="AM199"/>
  <c r="AH200"/>
  <c r="AF194"/>
  <c r="L234"/>
  <c r="D234" s="1"/>
  <c r="O234" s="1"/>
  <c r="AF191"/>
  <c r="AF186"/>
  <c r="AU222"/>
  <c r="AH222"/>
  <c r="AM222" s="1"/>
  <c r="AD172"/>
  <c r="E214"/>
  <c r="E196" s="1"/>
  <c r="AD176"/>
  <c r="AD154"/>
  <c r="AD169"/>
  <c r="AD179"/>
  <c r="AD174"/>
  <c r="AD178"/>
  <c r="AA229"/>
  <c r="AA209"/>
  <c r="AA221" s="1"/>
  <c r="AA227"/>
  <c r="AA231"/>
  <c r="AC179"/>
  <c r="Z180"/>
  <c r="Z232"/>
  <c r="Z233" s="1"/>
  <c r="E193"/>
  <c r="G193" s="1"/>
  <c r="M193" s="1"/>
  <c r="G211"/>
  <c r="M211" s="1"/>
  <c r="AF171"/>
  <c r="AG171" s="1"/>
  <c r="AH171" s="1"/>
  <c r="AU212"/>
  <c r="AI171"/>
  <c r="AI224" s="1"/>
  <c r="N229"/>
  <c r="F230"/>
  <c r="G230" s="1"/>
  <c r="M230" s="1"/>
  <c r="H230" s="1"/>
  <c r="AK193"/>
  <c r="AK200" s="1"/>
  <c r="AE226"/>
  <c r="AG226" s="1"/>
  <c r="AH226" s="1"/>
  <c r="AI173"/>
  <c r="AI226" s="1"/>
  <c r="AB180"/>
  <c r="AB232"/>
  <c r="AB233" s="1"/>
  <c r="AD220"/>
  <c r="AD225" s="1"/>
  <c r="U220"/>
  <c r="V220"/>
  <c r="AU185"/>
  <c r="AG173"/>
  <c r="AH173" s="1"/>
  <c r="AA225"/>
  <c r="AA223"/>
  <c r="AC154"/>
  <c r="Z163"/>
  <c r="Z158"/>
  <c r="L211"/>
  <c r="AA163"/>
  <c r="L212"/>
  <c r="AA158"/>
  <c r="AA180"/>
  <c r="AA232"/>
  <c r="AA233" s="1"/>
  <c r="AJ207"/>
  <c r="AJ208" s="1"/>
  <c r="AJ235" s="1"/>
  <c r="E235"/>
  <c r="AJ206"/>
  <c r="AJ197"/>
  <c r="AJ182"/>
  <c r="AJ194" s="1"/>
  <c r="AJ202"/>
  <c r="AG182"/>
  <c r="AC220"/>
  <c r="Z229"/>
  <c r="Z231"/>
  <c r="Z227"/>
  <c r="Z209"/>
  <c r="Z225"/>
  <c r="AP199"/>
  <c r="AQ199" s="1"/>
  <c r="AL175"/>
  <c r="AM175" s="1"/>
  <c r="AI194"/>
  <c r="AI191"/>
  <c r="L236"/>
  <c r="D236" s="1"/>
  <c r="O236" s="1"/>
  <c r="AI186"/>
  <c r="AB158"/>
  <c r="L213"/>
  <c r="AB163"/>
  <c r="AN175"/>
  <c r="AA166"/>
  <c r="AJ200"/>
  <c r="AN203"/>
  <c r="AN193" s="1"/>
  <c r="AG207"/>
  <c r="AP230"/>
  <c r="AQ230" s="1"/>
  <c r="AU230" s="1"/>
  <c r="AM228"/>
  <c r="AS205"/>
  <c r="AU204"/>
  <c r="AQ177"/>
  <c r="AN228" l="1"/>
  <c r="K257"/>
  <c r="L257" s="1"/>
  <c r="M260"/>
  <c r="O259"/>
  <c r="K256"/>
  <c r="L256" s="1"/>
  <c r="E252"/>
  <c r="F252" s="1"/>
  <c r="M252"/>
  <c r="O254"/>
  <c r="E254" s="1"/>
  <c r="F254" s="1"/>
  <c r="E253"/>
  <c r="F253" s="1"/>
  <c r="M253"/>
  <c r="K253" s="1"/>
  <c r="L253" s="1"/>
  <c r="AL193"/>
  <c r="AL200" s="1"/>
  <c r="AS199"/>
  <c r="AG191"/>
  <c r="AG194"/>
  <c r="AH182"/>
  <c r="AA181"/>
  <c r="AA234"/>
  <c r="AA236" s="1"/>
  <c r="AD166"/>
  <c r="AD158"/>
  <c r="L214"/>
  <c r="AD163"/>
  <c r="AG208"/>
  <c r="AG235" s="1"/>
  <c r="AH207"/>
  <c r="AJ173"/>
  <c r="X220"/>
  <c r="U223"/>
  <c r="AO175"/>
  <c r="AC232"/>
  <c r="AC233" s="1"/>
  <c r="AC180"/>
  <c r="AI165"/>
  <c r="AI172" s="1"/>
  <c r="AN204"/>
  <c r="AO203"/>
  <c r="Z221"/>
  <c r="Z213"/>
  <c r="AC209"/>
  <c r="Z218"/>
  <c r="AJ191"/>
  <c r="AJ186"/>
  <c r="L235"/>
  <c r="D212"/>
  <c r="O212" s="1"/>
  <c r="L194"/>
  <c r="D194" s="1"/>
  <c r="O194" s="1"/>
  <c r="AB234"/>
  <c r="AB236" s="1"/>
  <c r="AB181"/>
  <c r="AK197"/>
  <c r="AK207"/>
  <c r="AK202"/>
  <c r="E237"/>
  <c r="AK206"/>
  <c r="AK182"/>
  <c r="AL182" s="1"/>
  <c r="AL204"/>
  <c r="AK204"/>
  <c r="AA213"/>
  <c r="AA218"/>
  <c r="AD180"/>
  <c r="AD232"/>
  <c r="AD233" s="1"/>
  <c r="E215"/>
  <c r="E197" s="1"/>
  <c r="AE174"/>
  <c r="AE179"/>
  <c r="AE154"/>
  <c r="AE176"/>
  <c r="AE178"/>
  <c r="AE169"/>
  <c r="D211"/>
  <c r="L193"/>
  <c r="D193" s="1"/>
  <c r="Z234"/>
  <c r="Z236" s="1"/>
  <c r="Z181"/>
  <c r="D213"/>
  <c r="O213" s="1"/>
  <c r="L195"/>
  <c r="D195" s="1"/>
  <c r="O195" s="1"/>
  <c r="AN200"/>
  <c r="AN197"/>
  <c r="AN202"/>
  <c r="E238"/>
  <c r="AN207"/>
  <c r="AN206"/>
  <c r="AN182"/>
  <c r="AN194" s="1"/>
  <c r="AC163"/>
  <c r="AC158"/>
  <c r="AD229"/>
  <c r="AD209"/>
  <c r="AD223"/>
  <c r="AD227"/>
  <c r="AD231"/>
  <c r="AL197"/>
  <c r="AL202"/>
  <c r="AL206"/>
  <c r="AF165"/>
  <c r="AF224"/>
  <c r="AJ171"/>
  <c r="AE220"/>
  <c r="AI220"/>
  <c r="AI225" s="1"/>
  <c r="N230"/>
  <c r="F231"/>
  <c r="AI179"/>
  <c r="AI178"/>
  <c r="AI174"/>
  <c r="AS177"/>
  <c r="AU177"/>
  <c r="P230"/>
  <c r="O260" l="1"/>
  <c r="E259"/>
  <c r="F259" s="1"/>
  <c r="L259"/>
  <c r="AO228"/>
  <c r="M254"/>
  <c r="K252"/>
  <c r="L252" s="1"/>
  <c r="AI169"/>
  <c r="E217"/>
  <c r="AM193"/>
  <c r="AM206" s="1"/>
  <c r="AK194"/>
  <c r="AL194"/>
  <c r="AL191"/>
  <c r="AJ224"/>
  <c r="AJ165"/>
  <c r="AJ226"/>
  <c r="AG224"/>
  <c r="AH224" s="1"/>
  <c r="AF220"/>
  <c r="AN208"/>
  <c r="AN235" s="1"/>
  <c r="AK171"/>
  <c r="L215"/>
  <c r="AE163"/>
  <c r="AE158"/>
  <c r="AH208"/>
  <c r="AH235" s="1"/>
  <c r="L196"/>
  <c r="D196" s="1"/>
  <c r="O196" s="1"/>
  <c r="D214"/>
  <c r="O214" s="1"/>
  <c r="AI176"/>
  <c r="AI154"/>
  <c r="AI166" s="1"/>
  <c r="AF172"/>
  <c r="AF154"/>
  <c r="AF178"/>
  <c r="AG165"/>
  <c r="AF179"/>
  <c r="AF176"/>
  <c r="E216"/>
  <c r="E198" s="1"/>
  <c r="AF174"/>
  <c r="AF169"/>
  <c r="AM202"/>
  <c r="AM197"/>
  <c r="AM204"/>
  <c r="AD221"/>
  <c r="AD218"/>
  <c r="AD213"/>
  <c r="AK173"/>
  <c r="AN173" s="1"/>
  <c r="H193"/>
  <c r="O193"/>
  <c r="AE232"/>
  <c r="AE233" s="1"/>
  <c r="AE180"/>
  <c r="AD234"/>
  <c r="AD236" s="1"/>
  <c r="AD181"/>
  <c r="AP203"/>
  <c r="AO193"/>
  <c r="AP175"/>
  <c r="AP228" s="1"/>
  <c r="AQ228" s="1"/>
  <c r="AU228" s="1"/>
  <c r="AL171"/>
  <c r="AE231"/>
  <c r="AE227"/>
  <c r="AE223"/>
  <c r="AE229"/>
  <c r="AE225"/>
  <c r="AE209"/>
  <c r="AN186"/>
  <c r="L238"/>
  <c r="D238" s="1"/>
  <c r="O238" s="1"/>
  <c r="AN191"/>
  <c r="AN171"/>
  <c r="AN224" s="1"/>
  <c r="H211"/>
  <c r="O211"/>
  <c r="AE166"/>
  <c r="AK186"/>
  <c r="AK191"/>
  <c r="L237"/>
  <c r="D237" s="1"/>
  <c r="O237" s="1"/>
  <c r="AK208"/>
  <c r="AK235" s="1"/>
  <c r="AL207"/>
  <c r="AL208" s="1"/>
  <c r="AL235" s="1"/>
  <c r="D235"/>
  <c r="AC221"/>
  <c r="AC218"/>
  <c r="AC213"/>
  <c r="AC234"/>
  <c r="AC236" s="1"/>
  <c r="AC181"/>
  <c r="AH191"/>
  <c r="AH194"/>
  <c r="AM182"/>
  <c r="E199"/>
  <c r="AI163"/>
  <c r="AI158"/>
  <c r="AI209"/>
  <c r="AI221" s="1"/>
  <c r="AI223"/>
  <c r="AI231"/>
  <c r="AI229"/>
  <c r="AI227"/>
  <c r="AI232"/>
  <c r="AI180"/>
  <c r="G231"/>
  <c r="AM171"/>
  <c r="K254" l="1"/>
  <c r="L254" s="1"/>
  <c r="AO173"/>
  <c r="AP173" s="1"/>
  <c r="AN165"/>
  <c r="AN169" s="1"/>
  <c r="AN226"/>
  <c r="AN220" s="1"/>
  <c r="AN209" s="1"/>
  <c r="AM200"/>
  <c r="P193"/>
  <c r="AJ169"/>
  <c r="AJ176"/>
  <c r="E218"/>
  <c r="E200" s="1"/>
  <c r="AJ179"/>
  <c r="AJ178"/>
  <c r="AJ154"/>
  <c r="AO171"/>
  <c r="AP171" s="1"/>
  <c r="E239"/>
  <c r="AO182"/>
  <c r="AO207"/>
  <c r="AO206"/>
  <c r="AO197"/>
  <c r="AO202"/>
  <c r="AO200"/>
  <c r="F194"/>
  <c r="G194" s="1"/>
  <c r="M194" s="1"/>
  <c r="N193"/>
  <c r="AF158"/>
  <c r="AF163"/>
  <c r="AG154"/>
  <c r="AF166"/>
  <c r="L216"/>
  <c r="AM207"/>
  <c r="D215"/>
  <c r="O215" s="1"/>
  <c r="L197"/>
  <c r="D197" s="1"/>
  <c r="O197" s="1"/>
  <c r="AF231"/>
  <c r="AF229"/>
  <c r="AF209"/>
  <c r="AF227"/>
  <c r="AF223"/>
  <c r="AJ174"/>
  <c r="AJ220"/>
  <c r="AJ225" s="1"/>
  <c r="L217"/>
  <c r="D217" s="1"/>
  <c r="O217" s="1"/>
  <c r="AM194"/>
  <c r="AM191"/>
  <c r="AG220"/>
  <c r="AH220" s="1"/>
  <c r="AO204"/>
  <c r="AE234"/>
  <c r="AE236" s="1"/>
  <c r="AE181"/>
  <c r="AK226"/>
  <c r="AL226" s="1"/>
  <c r="AL173"/>
  <c r="AM173" s="1"/>
  <c r="AG179"/>
  <c r="AF232"/>
  <c r="AF233" s="1"/>
  <c r="AF180"/>
  <c r="AQ175"/>
  <c r="AK165"/>
  <c r="AK172" s="1"/>
  <c r="AK224"/>
  <c r="AL224" s="1"/>
  <c r="AM224" s="1"/>
  <c r="AF225"/>
  <c r="O235"/>
  <c r="F212"/>
  <c r="G212" s="1"/>
  <c r="M212" s="1"/>
  <c r="N211"/>
  <c r="P211"/>
  <c r="AE218"/>
  <c r="AE213"/>
  <c r="AE221"/>
  <c r="AP193"/>
  <c r="AQ203"/>
  <c r="AH165"/>
  <c r="AG178"/>
  <c r="AJ172"/>
  <c r="AO226"/>
  <c r="AM226"/>
  <c r="M231"/>
  <c r="AN223"/>
  <c r="AI234"/>
  <c r="AI236" s="1"/>
  <c r="AI181"/>
  <c r="AI218"/>
  <c r="AI213"/>
  <c r="L199"/>
  <c r="D199" s="1"/>
  <c r="O199" s="1"/>
  <c r="AI233"/>
  <c r="AN154"/>
  <c r="AN179"/>
  <c r="AN172"/>
  <c r="AJ227" l="1"/>
  <c r="AP226"/>
  <c r="AQ173"/>
  <c r="AN174"/>
  <c r="AN227"/>
  <c r="AN225"/>
  <c r="E220"/>
  <c r="E202" s="1"/>
  <c r="AN229"/>
  <c r="AL165"/>
  <c r="AL178" s="1"/>
  <c r="AN231"/>
  <c r="AN176"/>
  <c r="AN178"/>
  <c r="AP224"/>
  <c r="AP165"/>
  <c r="AP154" s="1"/>
  <c r="E240"/>
  <c r="AP202"/>
  <c r="AP182"/>
  <c r="AP207"/>
  <c r="AP208" s="1"/>
  <c r="AP235" s="1"/>
  <c r="AP197"/>
  <c r="AP206"/>
  <c r="AP194"/>
  <c r="AP200"/>
  <c r="AU175"/>
  <c r="AS175"/>
  <c r="AF218"/>
  <c r="AF221"/>
  <c r="AF213"/>
  <c r="AG209"/>
  <c r="AO191"/>
  <c r="AO186"/>
  <c r="L239"/>
  <c r="AQ182"/>
  <c r="AP204"/>
  <c r="AK220"/>
  <c r="AK225" s="1"/>
  <c r="AF181"/>
  <c r="AF234"/>
  <c r="AF236" s="1"/>
  <c r="AK174"/>
  <c r="AM208"/>
  <c r="AM235" s="1"/>
  <c r="AH154"/>
  <c r="AG163"/>
  <c r="AG158"/>
  <c r="E242"/>
  <c r="L218"/>
  <c r="AJ163"/>
  <c r="AJ158"/>
  <c r="AJ166"/>
  <c r="AO165"/>
  <c r="AO154" s="1"/>
  <c r="AO166" s="1"/>
  <c r="H212"/>
  <c r="P212" s="1"/>
  <c r="AH178"/>
  <c r="AJ223"/>
  <c r="AJ231"/>
  <c r="AJ229"/>
  <c r="AJ209"/>
  <c r="AQ193"/>
  <c r="AO194"/>
  <c r="AS203"/>
  <c r="AU202"/>
  <c r="AQ204"/>
  <c r="AK179"/>
  <c r="AK169"/>
  <c r="AK176"/>
  <c r="AK154"/>
  <c r="AK178"/>
  <c r="E219"/>
  <c r="E201" s="1"/>
  <c r="AG232"/>
  <c r="AG233" s="1"/>
  <c r="AG180"/>
  <c r="AH179"/>
  <c r="L198"/>
  <c r="D198" s="1"/>
  <c r="O198" s="1"/>
  <c r="D216"/>
  <c r="O216" s="1"/>
  <c r="AO208"/>
  <c r="AO235" s="1"/>
  <c r="AQ171"/>
  <c r="AO224"/>
  <c r="AJ232"/>
  <c r="AJ233" s="1"/>
  <c r="AJ180"/>
  <c r="H231"/>
  <c r="P231" s="1"/>
  <c r="AP179"/>
  <c r="AP176"/>
  <c r="L220"/>
  <c r="AN163"/>
  <c r="AN158"/>
  <c r="AS173"/>
  <c r="AU173"/>
  <c r="AQ226"/>
  <c r="AU226" s="1"/>
  <c r="AN232"/>
  <c r="AN180"/>
  <c r="AN218"/>
  <c r="AN213"/>
  <c r="AN166"/>
  <c r="AO179"/>
  <c r="AQ179" s="1"/>
  <c r="E221"/>
  <c r="AP174"/>
  <c r="F213"/>
  <c r="AN221"/>
  <c r="AP220"/>
  <c r="AP227" s="1"/>
  <c r="H194"/>
  <c r="P194" s="1"/>
  <c r="N212" l="1"/>
  <c r="AP178"/>
  <c r="AP169"/>
  <c r="AO172"/>
  <c r="AO169"/>
  <c r="AM165"/>
  <c r="AM178" s="1"/>
  <c r="AO174"/>
  <c r="AO178"/>
  <c r="AP172"/>
  <c r="AQ207"/>
  <c r="AR207" s="1"/>
  <c r="AH232"/>
  <c r="AH233" s="1"/>
  <c r="AH180"/>
  <c r="AK232"/>
  <c r="AK233" s="1"/>
  <c r="AK180"/>
  <c r="AU182"/>
  <c r="AS182"/>
  <c r="AQ191"/>
  <c r="AG221"/>
  <c r="AH209"/>
  <c r="AG218"/>
  <c r="AG213"/>
  <c r="AL179"/>
  <c r="AM179" s="1"/>
  <c r="AG181"/>
  <c r="AG234"/>
  <c r="AG236" s="1"/>
  <c r="AL154"/>
  <c r="AM154" s="1"/>
  <c r="AK158"/>
  <c r="AK163"/>
  <c r="L219"/>
  <c r="AK166"/>
  <c r="D239"/>
  <c r="AO176"/>
  <c r="AQ224"/>
  <c r="AU224" s="1"/>
  <c r="AO220"/>
  <c r="AU193"/>
  <c r="AQ206"/>
  <c r="AQ197"/>
  <c r="AS193"/>
  <c r="AQ202"/>
  <c r="AU201" s="1"/>
  <c r="AQ200"/>
  <c r="AQ194"/>
  <c r="AK227"/>
  <c r="AK223"/>
  <c r="AL220"/>
  <c r="AK209"/>
  <c r="AK231"/>
  <c r="AK229"/>
  <c r="AQ165"/>
  <c r="AJ234"/>
  <c r="AJ236" s="1"/>
  <c r="AJ181"/>
  <c r="AS171"/>
  <c r="AU171"/>
  <c r="AJ221"/>
  <c r="AJ218"/>
  <c r="AJ213"/>
  <c r="D218"/>
  <c r="O218" s="1"/>
  <c r="L200"/>
  <c r="D200" s="1"/>
  <c r="O200" s="1"/>
  <c r="AH163"/>
  <c r="AH158"/>
  <c r="L240"/>
  <c r="D240" s="1"/>
  <c r="O240" s="1"/>
  <c r="AP191"/>
  <c r="AP186"/>
  <c r="AQ180"/>
  <c r="L222"/>
  <c r="AP163"/>
  <c r="AP158"/>
  <c r="N194"/>
  <c r="F195"/>
  <c r="AP223"/>
  <c r="AP209"/>
  <c r="AP231"/>
  <c r="AP229"/>
  <c r="AP225"/>
  <c r="G213"/>
  <c r="AO180"/>
  <c r="AO232"/>
  <c r="AN233"/>
  <c r="E203"/>
  <c r="L221"/>
  <c r="AO163"/>
  <c r="AO158"/>
  <c r="AQ154"/>
  <c r="AP166"/>
  <c r="AN234"/>
  <c r="AN236" s="1"/>
  <c r="AN181"/>
  <c r="D220"/>
  <c r="O220" s="1"/>
  <c r="L202"/>
  <c r="AP180"/>
  <c r="AP232"/>
  <c r="F232"/>
  <c r="N231"/>
  <c r="AQ232" l="1"/>
  <c r="L224"/>
  <c r="AQ208"/>
  <c r="AQ235" s="1"/>
  <c r="L242"/>
  <c r="AM163"/>
  <c r="AM158"/>
  <c r="AH218"/>
  <c r="AH213"/>
  <c r="AH221"/>
  <c r="AM232"/>
  <c r="AM233" s="1"/>
  <c r="AM180"/>
  <c r="AO223"/>
  <c r="AO227"/>
  <c r="AO225"/>
  <c r="AO209"/>
  <c r="AO231"/>
  <c r="AO229"/>
  <c r="O239"/>
  <c r="O242" s="1"/>
  <c r="D242"/>
  <c r="AL232"/>
  <c r="AL233" s="1"/>
  <c r="AL180"/>
  <c r="AS207"/>
  <c r="AR208"/>
  <c r="AR235" s="1"/>
  <c r="AT207"/>
  <c r="AH181"/>
  <c r="AH234"/>
  <c r="AH236" s="1"/>
  <c r="AK221"/>
  <c r="AK218"/>
  <c r="AK213"/>
  <c r="AL163"/>
  <c r="AL158"/>
  <c r="AK181"/>
  <c r="AK234"/>
  <c r="AK236" s="1"/>
  <c r="AR179"/>
  <c r="AT179" s="1"/>
  <c r="AQ220"/>
  <c r="AU220" s="1"/>
  <c r="AL209"/>
  <c r="AM209" s="1"/>
  <c r="AS165"/>
  <c r="AQ178"/>
  <c r="AU165"/>
  <c r="AM220"/>
  <c r="L201"/>
  <c r="D201" s="1"/>
  <c r="O201" s="1"/>
  <c r="D219"/>
  <c r="O219" s="1"/>
  <c r="AU206"/>
  <c r="AP218"/>
  <c r="AP213"/>
  <c r="AP233"/>
  <c r="M213"/>
  <c r="L203"/>
  <c r="D203" s="1"/>
  <c r="O203" s="1"/>
  <c r="D221"/>
  <c r="O221" s="1"/>
  <c r="AO234"/>
  <c r="AO236" s="1"/>
  <c r="AO181"/>
  <c r="AQ233"/>
  <c r="AP181"/>
  <c r="AP234"/>
  <c r="AP236" s="1"/>
  <c r="AS154"/>
  <c r="AQ163"/>
  <c r="AQ158"/>
  <c r="AU154"/>
  <c r="AO233"/>
  <c r="G195"/>
  <c r="D202"/>
  <c r="G232"/>
  <c r="AP221"/>
  <c r="L204"/>
  <c r="D204" s="1"/>
  <c r="O204" s="1"/>
  <c r="D222"/>
  <c r="AQ181"/>
  <c r="AQ234"/>
  <c r="AQ236" s="1"/>
  <c r="AL221" l="1"/>
  <c r="AO218"/>
  <c r="AO213"/>
  <c r="AQ209"/>
  <c r="AQ213" s="1"/>
  <c r="AU179"/>
  <c r="AS179"/>
  <c r="AO221"/>
  <c r="AM181"/>
  <c r="AM234"/>
  <c r="AM236" s="1"/>
  <c r="AM218"/>
  <c r="AM213"/>
  <c r="AR180"/>
  <c r="AR181" s="1"/>
  <c r="L206"/>
  <c r="AM221"/>
  <c r="AL234"/>
  <c r="AL236" s="1"/>
  <c r="AL181"/>
  <c r="AR232"/>
  <c r="AI237" s="1"/>
  <c r="AL213"/>
  <c r="AL218"/>
  <c r="AS209"/>
  <c r="O202"/>
  <c r="D206"/>
  <c r="O222"/>
  <c r="D224"/>
  <c r="M232"/>
  <c r="M195"/>
  <c r="H213"/>
  <c r="AQ218" l="1"/>
  <c r="AC237"/>
  <c r="AQ221"/>
  <c r="AS232"/>
  <c r="AK237"/>
  <c r="AR234"/>
  <c r="AR236" s="1"/>
  <c r="AP237"/>
  <c r="AQ237"/>
  <c r="AU232"/>
  <c r="AO237"/>
  <c r="AS230"/>
  <c r="AM237"/>
  <c r="AH237"/>
  <c r="AF237"/>
  <c r="Z237"/>
  <c r="AR233"/>
  <c r="AN237"/>
  <c r="AJ237"/>
  <c r="AE237"/>
  <c r="AB237"/>
  <c r="AT232"/>
  <c r="AU209"/>
  <c r="AL237"/>
  <c r="AG237"/>
  <c r="AD237"/>
  <c r="AA237"/>
  <c r="AR237"/>
  <c r="H195"/>
  <c r="P195" s="1"/>
  <c r="N213"/>
  <c r="F214"/>
  <c r="P213"/>
  <c r="H232"/>
  <c r="O224"/>
  <c r="O206"/>
  <c r="AU237" l="1"/>
  <c r="F233"/>
  <c r="N232"/>
  <c r="F196"/>
  <c r="N195"/>
  <c r="G214"/>
  <c r="P232"/>
  <c r="G196" l="1"/>
  <c r="M214"/>
  <c r="G233"/>
  <c r="H214" l="1"/>
  <c r="M233"/>
  <c r="M196"/>
  <c r="F215" l="1"/>
  <c r="N214"/>
  <c r="H196"/>
  <c r="H233"/>
  <c r="P233" s="1"/>
  <c r="P214"/>
  <c r="F197" l="1"/>
  <c r="N196"/>
  <c r="F234"/>
  <c r="N233"/>
  <c r="P196"/>
  <c r="G215"/>
  <c r="M215" l="1"/>
  <c r="G234"/>
  <c r="M234" s="1"/>
  <c r="G197"/>
  <c r="H234" l="1"/>
  <c r="M197"/>
  <c r="H215"/>
  <c r="F216" l="1"/>
  <c r="N215"/>
  <c r="H197"/>
  <c r="F235"/>
  <c r="G235" s="1"/>
  <c r="M235" s="1"/>
  <c r="H235" s="1"/>
  <c r="N234"/>
  <c r="P215"/>
  <c r="P234"/>
  <c r="N235" l="1"/>
  <c r="F236"/>
  <c r="G236" s="1"/>
  <c r="M236" s="1"/>
  <c r="H236" s="1"/>
  <c r="F198"/>
  <c r="N197"/>
  <c r="G216"/>
  <c r="M216" s="1"/>
  <c r="P235"/>
  <c r="P197"/>
  <c r="N236" l="1"/>
  <c r="F237"/>
  <c r="G237" s="1"/>
  <c r="M237" s="1"/>
  <c r="H237" s="1"/>
  <c r="G198"/>
  <c r="M198" s="1"/>
  <c r="H216"/>
  <c r="P216" s="1"/>
  <c r="P236"/>
  <c r="H198" l="1"/>
  <c r="F217"/>
  <c r="G217" s="1"/>
  <c r="M217" s="1"/>
  <c r="H217" s="1"/>
  <c r="N216"/>
  <c r="P237"/>
  <c r="F238"/>
  <c r="G238" s="1"/>
  <c r="M238" s="1"/>
  <c r="H238" s="1"/>
  <c r="N237"/>
  <c r="P238" l="1"/>
  <c r="P217"/>
  <c r="F199"/>
  <c r="G199" s="1"/>
  <c r="M199" s="1"/>
  <c r="N198"/>
  <c r="N238"/>
  <c r="F239"/>
  <c r="G239" s="1"/>
  <c r="M239" s="1"/>
  <c r="F218"/>
  <c r="G218" s="1"/>
  <c r="M218" s="1"/>
  <c r="H218" s="1"/>
  <c r="N217"/>
  <c r="P198"/>
  <c r="M240" l="1"/>
  <c r="F219"/>
  <c r="G219" s="1"/>
  <c r="M219" s="1"/>
  <c r="N218"/>
  <c r="H239"/>
  <c r="P218"/>
  <c r="H199"/>
  <c r="P199" s="1"/>
  <c r="M242" l="1"/>
  <c r="H219"/>
  <c r="N239"/>
  <c r="F240"/>
  <c r="H240"/>
  <c r="N199"/>
  <c r="F200"/>
  <c r="G200" s="1"/>
  <c r="M200" s="1"/>
  <c r="P239"/>
  <c r="P240" l="1"/>
  <c r="P242" s="1"/>
  <c r="N219"/>
  <c r="F220"/>
  <c r="G220" s="1"/>
  <c r="M220" s="1"/>
  <c r="C241"/>
  <c r="N240"/>
  <c r="H242"/>
  <c r="N242" s="1"/>
  <c r="G240"/>
  <c r="G242" s="1"/>
  <c r="F242"/>
  <c r="H200"/>
  <c r="P200" s="1"/>
  <c r="P219"/>
  <c r="O244" l="1"/>
  <c r="C242"/>
  <c r="F201"/>
  <c r="G201" s="1"/>
  <c r="M201" s="1"/>
  <c r="N200"/>
  <c r="H220"/>
  <c r="F221" l="1"/>
  <c r="G221" s="1"/>
  <c r="M221" s="1"/>
  <c r="N220"/>
  <c r="H201"/>
  <c r="P201" s="1"/>
  <c r="P220"/>
  <c r="M222" l="1"/>
  <c r="F202"/>
  <c r="G202" s="1"/>
  <c r="M202" s="1"/>
  <c r="N201"/>
  <c r="H221"/>
  <c r="F222" l="1"/>
  <c r="F224" s="1"/>
  <c r="H222"/>
  <c r="N221"/>
  <c r="M204"/>
  <c r="E222"/>
  <c r="M224"/>
  <c r="P221"/>
  <c r="H202"/>
  <c r="P222" l="1"/>
  <c r="P224" s="1"/>
  <c r="F203"/>
  <c r="G203" s="1"/>
  <c r="M203" s="1"/>
  <c r="H203" s="1"/>
  <c r="N202"/>
  <c r="P202"/>
  <c r="N222"/>
  <c r="C223"/>
  <c r="H224"/>
  <c r="N224" s="1"/>
  <c r="G222"/>
  <c r="G224" s="1"/>
  <c r="E204"/>
  <c r="E224"/>
  <c r="M206" l="1"/>
  <c r="C224"/>
  <c r="O226"/>
  <c r="E206"/>
  <c r="N203"/>
  <c r="F204"/>
  <c r="G204" s="1"/>
  <c r="G206" s="1"/>
  <c r="H204"/>
  <c r="P203"/>
  <c r="C205" l="1"/>
  <c r="N204"/>
  <c r="H206"/>
  <c r="N206" s="1"/>
  <c r="F206"/>
  <c r="P204"/>
  <c r="P206" s="1"/>
  <c r="O208" l="1"/>
  <c r="C206"/>
</calcChain>
</file>

<file path=xl/sharedStrings.xml><?xml version="1.0" encoding="utf-8"?>
<sst xmlns="http://schemas.openxmlformats.org/spreadsheetml/2006/main" count="1323" uniqueCount="773">
  <si>
    <t>дней</t>
  </si>
  <si>
    <t>5.21за качество (равен приказу, не не более 60%)</t>
  </si>
  <si>
    <t>5.22. компенсационная часть прочего персонала с рк</t>
  </si>
  <si>
    <t>1,37,Число дней отпуска на 1 педагога</t>
  </si>
  <si>
    <t>5.22. за стаж (по приказам)</t>
  </si>
  <si>
    <t>5.23. итого базовая часть прочего персонала с рк</t>
  </si>
  <si>
    <t>1,38Число дней отпуска на 1 прочегог работника</t>
  </si>
  <si>
    <t>5.23. прочие выплаты и МП</t>
  </si>
  <si>
    <t>1,39стоимость 1 дня отпуска всех  работников</t>
  </si>
  <si>
    <t>руб</t>
  </si>
  <si>
    <t>5.23.принят в расчт прочие выплаты и МП (по приказам, не более 5%)</t>
  </si>
  <si>
    <t>5.18. График ухода в  отпуск прочего персонала , с указанием дней отпусков в месяце, чел-дни ( равен разд 1 стр. 1.29) по табелю рабочего времени</t>
  </si>
  <si>
    <t>в примере прочий персонал в течение одного месяца отгуливает весь отпуск, переходящих дней отпусков из одного месяца в другой нет</t>
  </si>
  <si>
    <t>1,40,стоимость 1 дня отпуска всех  педагогов</t>
  </si>
  <si>
    <t>5.25. ФОТ направить на погашение кредиторской задолженности</t>
  </si>
  <si>
    <t>5.18.1. График ухода  в отпуск прочего персонала с указанием дней отпуска в момент ухода (итог равен чел-дням отпуска раздел1 стр 1.29.) для начисления отпускных</t>
  </si>
  <si>
    <t>1,41,стоимость 1 дня отпуска всех  прочих работников</t>
  </si>
  <si>
    <t>5.27. свободные лимиты по 211 экр,передвижка лимитов с 211 на другой код ЭКР</t>
  </si>
  <si>
    <t>5.19. дни отпус на 1 прочего персонала (стр.5.18.1/стр 1.25)</t>
  </si>
  <si>
    <t>6. Распределение фактических расходов и кассовых выплат по зарплате по месяцам года и по категориям персонала</t>
  </si>
  <si>
    <t>5.20 . Начислен резерв отпускных прочего персонала, равномерно 1/12 часть</t>
  </si>
  <si>
    <t>месяц года</t>
  </si>
  <si>
    <t>7. Свод начислений по категориям персонала</t>
  </si>
  <si>
    <t>структура ФЗП по категор.перс. и вид.выплат</t>
  </si>
  <si>
    <t>% резерва</t>
  </si>
  <si>
    <t>педагоги</t>
  </si>
  <si>
    <t>прочий</t>
  </si>
  <si>
    <t>5.8. Начисление фактических  отпускных  прочего персонала за все дни,за счет резерва , итог равен резерву (стр.5.19. х стоимость 1 ч-д графа АТ)</t>
  </si>
  <si>
    <t>тарифная с р.к.</t>
  </si>
  <si>
    <t>5.    . стимулир прочего персоналас рк-всего</t>
  </si>
  <si>
    <t>в т.ч. тариф</t>
  </si>
  <si>
    <t>р.к.</t>
  </si>
  <si>
    <t>5.21. число отработ календ дней прочим персоналом за предыдущий премиальн период  (в расчете  на 1 работн ) 1полуг-июль-декабрь;2полуг-янв-июнь</t>
  </si>
  <si>
    <t>компенсационная с р.к.</t>
  </si>
  <si>
    <t>5.22. по итогам работы прочего персонала с рк (пропор.отраб.раб.дням стр 5.21. и стоимости 1 дня -графа АТ)</t>
  </si>
  <si>
    <t>в т.ч. Компенсационная</t>
  </si>
  <si>
    <t>5.23.1. Число факт отработ в месяце календ дней прочим персоналом (в расчете  на 1 работн )</t>
  </si>
  <si>
    <t>базовая с р.к.</t>
  </si>
  <si>
    <t>5.23.интенсивность прочего персонала  с рк (пропорц числу раб дней стр.5.23.1. и стоим 1 дня граф АТ)</t>
  </si>
  <si>
    <t xml:space="preserve">в т.ч. базовая </t>
  </si>
  <si>
    <t>5.24. за качество прочего персонала, с р.к.</t>
  </si>
  <si>
    <t>отпускные</t>
  </si>
  <si>
    <t>% качемтво</t>
  </si>
  <si>
    <t>стимулирование с р.к.-всего</t>
  </si>
  <si>
    <t>5.25. за стаж прочего персонала, с рк</t>
  </si>
  <si>
    <t>в т.ч. Стимулир</t>
  </si>
  <si>
    <t>Кред задолж на 01.01.2017</t>
  </si>
  <si>
    <t>5.26. разов и МП прочего персонала, (без рк)</t>
  </si>
  <si>
    <t xml:space="preserve">итого лимиты на год </t>
  </si>
  <si>
    <t>выплаты по итогам с р.к.</t>
  </si>
  <si>
    <t>в т.ч. погашение кредиторки на н.г. за счет лимитов текущего года</t>
  </si>
  <si>
    <t>в т.ч. Выплаты по итогам</t>
  </si>
  <si>
    <t>5.27.  ФЗП  кассовые выплаты прочего персонала по году в ПФХД (начисл за раб.дни +отпускные)</t>
  </si>
  <si>
    <t>кредиторка на к.г.</t>
  </si>
  <si>
    <t>5.28. сред. ЗП прочего персонала</t>
  </si>
  <si>
    <t>1.ЗП начисление за отраб время (базов+тариф+отпускные) без резерва</t>
  </si>
  <si>
    <t xml:space="preserve">2. выплата аванса (гр1 х0, 4)- касса </t>
  </si>
  <si>
    <t xml:space="preserve">3.  выплата ЗП  пред месяц касса </t>
  </si>
  <si>
    <t>4. итоговыплата по  кассе (2+3)</t>
  </si>
  <si>
    <t>5. Cальдо расчетов по   ЗП (+КЗ;-ДЗ (пред.стр.(5)+начисл(1)-выплата(3))</t>
  </si>
  <si>
    <t>6. Начисление 1/12 резерват</t>
  </si>
  <si>
    <t>7. выплачены отпускные касса</t>
  </si>
  <si>
    <t>8. Сальдо  резерва (-недостат),(+ наличие)</t>
  </si>
  <si>
    <t>9. всего факт расход ЗП (ФЗП(базов+стим) +1/12 резерва)</t>
  </si>
  <si>
    <t>10. в ПФХД - всего КР ФЗП( (2)зп.пред.мес.+(3)аванс+(7)отпуск))</t>
  </si>
  <si>
    <t>11. Свернутое сальдо задолженности по ЗП и резерва (ЗП-остаток резерва),(+КЗ,-ДЗ)</t>
  </si>
  <si>
    <t>13. факт расхожды ФЗП по смете (=раздел 5 )</t>
  </si>
  <si>
    <t>выплаты за качество с р.к.</t>
  </si>
  <si>
    <t xml:space="preserve">5.30. Раздел всего персонал-лимит в ПФХД </t>
  </si>
  <si>
    <t>кредиторка на нач года педагогов</t>
  </si>
  <si>
    <t xml:space="preserve">в т.юч. качество </t>
  </si>
  <si>
    <t>5.31. тарифная всего,  с р.к.</t>
  </si>
  <si>
    <t>5.32. компенсационная с рк</t>
  </si>
  <si>
    <t>выплаты за стаж с р.к.</t>
  </si>
  <si>
    <t>5.33. итого базовая, срк</t>
  </si>
  <si>
    <t>в т.ч. Стаж</t>
  </si>
  <si>
    <t>5.34.График ухода в  отпуск всего персонала , с указанием дней отпусков в месяце, чел-дни ( равен разд 1 стр. 1.29) по табелю рабочего времени</t>
  </si>
  <si>
    <t>разовые выплаты и мп</t>
  </si>
  <si>
    <t>5.35. График ухода  в отпуск всего персонала с указанием дней отпуска в момент ухода (итог равен чел-дням отпуска раздел1 стр 1.29.) для начисления отпускных</t>
  </si>
  <si>
    <t>Всего ФЗП</t>
  </si>
  <si>
    <t>5.35. дни отпус на 1  персонала (стр.5.34.1/стр 1.19)</t>
  </si>
  <si>
    <t>в т.ч. Фзп</t>
  </si>
  <si>
    <t>Итого  педперсонал</t>
  </si>
  <si>
    <t>Всего персонал</t>
  </si>
  <si>
    <t>Установленная расчетная численность, единиц</t>
  </si>
  <si>
    <t>k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</si>
  <si>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</si>
  <si>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</si>
  <si>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</si>
  <si>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</si>
  <si>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</si>
  <si>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5.36.Начислен резерв отпускных всего персонала, равномерно 1/12 часть</t>
  </si>
  <si>
    <t>5.37.  Начисление фактических  отпускных  всего персонала за все дни,за счет резерва , итог равен резерву (стр.5.35. х стоимость 1 ч-д графа АТ)</t>
  </si>
  <si>
    <t>5.38.стимулир всего персонала, с рк-всего</t>
  </si>
  <si>
    <t>5.39. по итогам работы всего персонала,  ср.к.</t>
  </si>
  <si>
    <t>5.40. интенсивность всего персонала,  ср.кк</t>
  </si>
  <si>
    <t>5.41. за качествовсего персонала, с р.к.</t>
  </si>
  <si>
    <t>прочий персонал</t>
  </si>
  <si>
    <t>% качество</t>
  </si>
  <si>
    <t>5.42.за стаж всего персонала. С р.к.</t>
  </si>
  <si>
    <t>5.43. разов и МП всего персонала(без рк)</t>
  </si>
  <si>
    <t>5.44  ФЗП  кассовые выплаты всего персонала по году в ПФХД (начисл за раб.дни +отпускные)</t>
  </si>
  <si>
    <t>5.45. сред. ЗП-всего персонала</t>
  </si>
  <si>
    <t>планов сред ЗП педагогов</t>
  </si>
  <si>
    <t>планов сред ЗП прочего персонала</t>
  </si>
  <si>
    <t>% сред ЗП  педагогов к целевому значению по бюджету</t>
  </si>
  <si>
    <t>ФЗП фактическое распределение по году в %</t>
  </si>
  <si>
    <t>Итого прочий персонал:</t>
  </si>
  <si>
    <t>Мтого основной педперсонал</t>
  </si>
  <si>
    <t>Всего</t>
  </si>
  <si>
    <t>Итого базовая часть</t>
  </si>
  <si>
    <t>итого тарифная часть</t>
  </si>
  <si>
    <t>в т.ч. Ежемесячная надбавка к должностному окладу из тарифной части,%</t>
  </si>
  <si>
    <t>в т.ч. Интенсирвность без р.к.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</si>
  <si>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</si>
  <si>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</si>
  <si>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</si>
  <si>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</si>
  <si>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 заключение Наблюдательного Совета автономного учреждения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</si>
  <si>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</si>
  <si>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</si>
  <si>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</si>
  <si>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</si>
  <si>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</si>
  <si>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</si>
  <si>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</si>
  <si>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</si>
  <si>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</si>
  <si>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</si>
  <si>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</si>
  <si>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</si>
  <si>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</si>
  <si>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</si>
  <si>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</si>
  <si>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</si>
  <si>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</si>
  <si>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</si>
  <si>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</si>
  <si>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</si>
  <si>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</si>
  <si>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</si>
  <si>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</si>
  <si>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</si>
  <si>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</si>
  <si>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</si>
  <si>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2.2. Перечень государственных работ: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</si>
  <si>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</si>
  <si>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</si>
  <si>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</si>
  <si>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</si>
  <si>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</si>
  <si>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</si>
  <si>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</si>
  <si>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</si>
  <si>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</si>
  <si>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</si>
  <si>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</si>
  <si>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</si>
  <si>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</si>
  <si>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</si>
  <si>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</si>
  <si>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</si>
  <si>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</si>
  <si>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</si>
  <si>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</si>
  <si>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</si>
  <si>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</si>
  <si>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</si>
  <si>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</si>
  <si>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</si>
  <si>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</si>
  <si>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</si>
  <si>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</si>
  <si>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</si>
  <si>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</si>
  <si>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</si>
  <si>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</si>
  <si>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</si>
  <si>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</si>
  <si>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</si>
  <si>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</si>
  <si>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</si>
  <si>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</si>
  <si>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</si>
  <si>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</si>
  <si>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</si>
  <si>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</si>
  <si>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</si>
  <si>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</si>
  <si>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</si>
  <si>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</si>
  <si>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</si>
  <si>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</si>
  <si>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</si>
  <si>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</si>
  <si>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</si>
  <si>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</si>
  <si>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</si>
  <si>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</si>
  <si>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</si>
  <si>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</si>
  <si>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</si>
  <si>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</si>
  <si>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</si>
  <si>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</si>
  <si>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</si>
  <si>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</si>
  <si>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</si>
  <si>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</si>
  <si>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</si>
  <si>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</si>
  <si>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</si>
  <si>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</si>
  <si>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</si>
  <si>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</si>
  <si>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</si>
  <si>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</si>
  <si>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</si>
  <si>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</si>
  <si>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</si>
  <si>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</si>
  <si>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</si>
  <si>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4.Мероприятия  по энергосбережению и повышению энергетической эффективности</t>
  </si>
  <si>
    <t>Задача</t>
  </si>
  <si>
    <t>Мероприятия</t>
  </si>
  <si>
    <t>Плановый результат</t>
  </si>
  <si>
    <t>Срок исполнения</t>
  </si>
  <si>
    <t>Планируемый объем затрат</t>
  </si>
  <si>
    <t>№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</si>
  <si>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</si>
  <si>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</si>
  <si>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</si>
  <si>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</si>
  <si>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</si>
  <si>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</si>
  <si>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</si>
  <si>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Среднемесячный размер оплаты труда на одного работника, руб.</t>
  </si>
  <si>
    <t>Ежемесячная надбавка к должностному окладу,%</t>
  </si>
  <si>
    <t>Районный коэффициент</t>
  </si>
  <si>
    <t>Фонд оплаты труда в год, руб. (гр.3 х гр.4 х (1+ гр. 8/100) х гр. 9 х 12)</t>
  </si>
  <si>
    <t>Итого:</t>
  </si>
  <si>
    <t>х</t>
  </si>
  <si>
    <t>1.1. Расчеты (обоснования) расходов на оплату труда</t>
  </si>
  <si>
    <t>Код видов расходов___________________________________________________________________________________________________________________</t>
  </si>
  <si>
    <t>1. Расчеты (обоснования) выплат персоналу (строка 210)</t>
  </si>
  <si>
    <t>Код видов расходов_____________________________________________________________________</t>
  </si>
  <si>
    <t>Источник финансового обеспечения______________________________________________________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</si>
  <si>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</si>
  <si>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</si>
  <si>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</si>
  <si>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</si>
  <si>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</si>
  <si>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</si>
  <si>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</si>
  <si>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</si>
  <si>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r>
      <rPr>
        <b/>
        <sz val="11"/>
        <color indexed="8"/>
        <rFont val="Calibri"/>
        <family val="2"/>
        <charset val="204"/>
      </rPr>
      <t>в том числе: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компенсация дополнительных расходов, связанных с проживанием вне места постоянного жительства (суточных)</t>
    </r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</si>
  <si>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</si>
  <si>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</si>
  <si>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</si>
  <si>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</si>
  <si>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</si>
  <si>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</si>
  <si>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</si>
  <si>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</si>
  <si>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Итого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</si>
  <si>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</si>
  <si>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</si>
  <si>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</si>
  <si>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</si>
  <si>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Код видов расходов__________________________________________________________________________</t>
  </si>
  <si>
    <t>Источник финансового обеспечения___________________________________________________________</t>
  </si>
  <si>
    <t>Пособие по уходу за ребенком</t>
  </si>
  <si>
    <t xml:space="preserve">1. Расчеты (обоснования) выплат персоналу 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</si>
  <si>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</si>
  <si>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</si>
  <si>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</si>
  <si>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</si>
  <si>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   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</si>
  <si>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</si>
  <si>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</si>
  <si>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</si>
  <si>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1.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</si>
  <si>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</si>
  <si>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</si>
  <si>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</si>
  <si>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</si>
  <si>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</si>
  <si>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0_%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</si>
  <si>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</si>
  <si>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</si>
  <si>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</si>
  <si>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Указываются страховые тарифы дифференцированные по классам профессионального риска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2016 год" (Собрание законодательства Российская Федерация. 2005 № 52. ст.5592: 2015. № 51. ст.7233).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</si>
  <si>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</si>
  <si>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</si>
  <si>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</si>
  <si>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(гр.3 х гр.4)</t>
  </si>
  <si>
    <t xml:space="preserve">Наименование расходов </t>
  </si>
  <si>
    <t>Налоговая база, руб.</t>
  </si>
  <si>
    <t>Ставка налога, %</t>
  </si>
  <si>
    <t>Налог на имущество, всего</t>
  </si>
  <si>
    <t>в том числе по группам:                                                    недвижимое имущество</t>
  </si>
  <si>
    <t>из них:                                                                                       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</si>
  <si>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</si>
  <si>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</si>
  <si>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</si>
  <si>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 исчесленного налога, подлежащего уплате, руб. (гр.3 х гр.4/100)</t>
  </si>
  <si>
    <t>Сумма, руб. (гр.3 х гр.4/100)</t>
  </si>
  <si>
    <t>Земельный налог, всего</t>
  </si>
  <si>
    <t>в том числе по участкам:</t>
  </si>
  <si>
    <t>3.3. Расчет (обоснование) расходов на уплату прочих налогов и сборов</t>
  </si>
  <si>
    <t>2. Расчет (обоснование) расходов на социальные и иные выплаты населению</t>
  </si>
  <si>
    <t>3. Расчет (обоснование) расходов на уплату налогов, сборов и иных платежей</t>
  </si>
  <si>
    <t>Всего, руб.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</si>
  <si>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</si>
  <si>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</si>
  <si>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</si>
  <si>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</si>
  <si>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</si>
  <si>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Общая сумма выплат, руб. (гр. 3х гр. 4)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</si>
  <si>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</si>
  <si>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</si>
  <si>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</si>
  <si>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</si>
  <si>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</si>
  <si>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еденицу, руб.</t>
  </si>
  <si>
    <t>Сумма, руб. (гр. 3 х гр. 4 х гр.5)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</si>
  <si>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</si>
  <si>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</si>
  <si>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</si>
  <si>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</si>
  <si>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</si>
  <si>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</si>
  <si>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</si>
  <si>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х гр. 4 )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</si>
  <si>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</si>
  <si>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</si>
  <si>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Размер потребления ресурсов</t>
  </si>
  <si>
    <t>Тариф (с учетом НДС), руб.</t>
  </si>
  <si>
    <t>Индексация,%</t>
  </si>
  <si>
    <t>Сумма, руб. (гр. 3 х гр. 4 х гр.5 )</t>
  </si>
  <si>
    <t>Электроснабжение, всего</t>
  </si>
  <si>
    <t>в том числе по объектам:</t>
  </si>
  <si>
    <t>6.4. Расчет (обоснование) расходов на оплату аренды имущества</t>
  </si>
  <si>
    <t>Количество</t>
  </si>
  <si>
    <t>Ставка арендной платы</t>
  </si>
  <si>
    <t>Источник финансового обеспечения________________________________________________________</t>
  </si>
  <si>
    <t>Стоимость с учетом НДС, руб.</t>
  </si>
  <si>
    <t>Аренда недвижимого имущества</t>
  </si>
  <si>
    <t xml:space="preserve">Аренда движемого имущества 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</si>
  <si>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</si>
  <si>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</si>
  <si>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</si>
  <si>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</si>
  <si>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Содержание объектов движимого имущества в чистоте</t>
  </si>
  <si>
    <t>в том числе:                                                                       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</si>
  <si>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</si>
  <si>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</si>
  <si>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4.</t>
  </si>
  <si>
    <t>Противопожарные мероприятия, связанные с содержанием имущества</t>
  </si>
  <si>
    <t>Количество договоров</t>
  </si>
  <si>
    <t>Стоимость услуг,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</si>
  <si>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</si>
  <si>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</si>
  <si>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</si>
  <si>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в том числе:                                                                                         приобретение (обновление) программного обеспечения</t>
  </si>
  <si>
    <t>6.6. Расчет (обоснование) расходов на оплату прочих работ, услуг</t>
  </si>
  <si>
    <t>Средняя стоимость, руб.</t>
  </si>
  <si>
    <t>Сумма, руб. (гр. 2 х гр. 3)</t>
  </si>
  <si>
    <t>Приобретение основных средств</t>
  </si>
  <si>
    <t>в том числе по группам объектов:</t>
  </si>
  <si>
    <t>Единица измерения</t>
  </si>
  <si>
    <t>Цена за единицу, руб.</t>
  </si>
  <si>
    <t>Сумма, руб. (гр. 4 х гр. 5)</t>
  </si>
  <si>
    <t>Приобретение материалов</t>
  </si>
  <si>
    <t>в том числе по группам материалов:</t>
  </si>
  <si>
    <t>Услуги телефонно-телеграфной, факсимильной, пейджинговой связи, радиосвязи</t>
  </si>
  <si>
    <t>Расходы (обоснования) к плану финансово-хозяйственной деятельности государственного  учреждения</t>
  </si>
  <si>
    <t>Источник финансового обеспечения__________________________________Областной бюджет_________________________________________________</t>
  </si>
  <si>
    <t>Источник финансового обеспечения_________Иная приносящая доход деятельность_________________________________________________________________</t>
  </si>
  <si>
    <t>Административно-управленческий персонал</t>
  </si>
  <si>
    <t>Основной Педагогический персонал,осуществляющий учебный процесс (по Указам)</t>
  </si>
  <si>
    <t>Педагогический персонал  (не осуществляющий учебный процесс), не входящий в Указ</t>
  </si>
  <si>
    <t>Учебно-вспомогательный персонал</t>
  </si>
  <si>
    <t>Обслуживающий персонал</t>
  </si>
  <si>
    <t>Кредиторская задолженность на начало года</t>
  </si>
  <si>
    <t>Аутсорсинг</t>
  </si>
  <si>
    <t>Источник финансового обеспечения___Иная приносящая доход деятельность__________</t>
  </si>
  <si>
    <r>
      <t xml:space="preserve">Свободные лимиты по </t>
    </r>
    <r>
      <rPr>
        <b/>
        <sz val="14"/>
        <color indexed="10"/>
        <rFont val="Times New Roman"/>
        <family val="1"/>
        <charset val="204"/>
      </rPr>
      <t>211 ЭКР</t>
    </r>
    <r>
      <rPr>
        <b/>
        <sz val="14"/>
        <color indexed="8"/>
        <rFont val="Times New Roman"/>
        <family val="1"/>
        <charset val="204"/>
      </rPr>
      <t xml:space="preserve">  для передвижки на другие статьи расходов </t>
    </r>
  </si>
  <si>
    <t>Итого с учетом кредиторской задолженности:</t>
  </si>
  <si>
    <t>Педагогический персонал  (не осуществляющий учебный процесс), не входящий в Указ Президента РФ</t>
  </si>
  <si>
    <t>в том числе резерв отпусков</t>
  </si>
  <si>
    <t>из госзадания</t>
  </si>
  <si>
    <t>пред год</t>
  </si>
  <si>
    <t>плановый год</t>
  </si>
  <si>
    <t>в т.ч. Коррек</t>
  </si>
  <si>
    <t>УТВЕРЖДЕНО:</t>
  </si>
  <si>
    <t>всего приведенный контингент для Производительности труда</t>
  </si>
  <si>
    <t>Приказом учреждения</t>
  </si>
  <si>
    <t xml:space="preserve">Дневное отделение - </t>
  </si>
  <si>
    <t xml:space="preserve">дневное отделение НПО - </t>
  </si>
  <si>
    <t>от "___ "_____________ 20__ г. № ____</t>
  </si>
  <si>
    <t xml:space="preserve">дневное отделение СПО - </t>
  </si>
  <si>
    <t>Директор                                                                                  (Расшифровка подписи ФИО директора)</t>
  </si>
  <si>
    <t xml:space="preserve">Заочное отделение СПО- </t>
  </si>
  <si>
    <t>2. Штатное расписание______________________________________________</t>
  </si>
  <si>
    <t>Штат в количестве</t>
  </si>
  <si>
    <t>единиц</t>
  </si>
  <si>
    <t xml:space="preserve">Заочное отделение НПО- </t>
  </si>
  <si>
    <t>на 2017\2018 учебный год</t>
  </si>
  <si>
    <t>№      п/п</t>
  </si>
  <si>
    <t>Наименование должности</t>
  </si>
  <si>
    <t>Количество штатных единиц</t>
  </si>
  <si>
    <t>Наименование  ПКГ</t>
  </si>
  <si>
    <t>Квалификационный уровень ПКГ</t>
  </si>
  <si>
    <t>Ставка, оклад по ПКГ , рублей</t>
  </si>
  <si>
    <t>Размер повышающего коэффициента к окладу (должностному окладу), ставке заработной платы по занимаемой должности      ( К1), рублей</t>
  </si>
  <si>
    <t>Размер повышающего коэффициента к окладу (должностному окладу), ставке заработной платы за работу на селе (Кс=1,25), рублей</t>
  </si>
  <si>
    <t>Ставка,оклад с учетом К1 и Кс     9гр.=6рг.х7гр.х8гр.     рублей</t>
  </si>
  <si>
    <t>Размер повышающего коэффициента к окладу (должностному окладу), ставке заработной платы</t>
  </si>
  <si>
    <t xml:space="preserve"> Размер оклада(должностного оклада) ставка заработной платы с учетом повышающих коэффициентов (К1, Кс,К2,К3), рублей 14гр.=(9гр.+11гр.+13гр)</t>
  </si>
  <si>
    <t>Размер персонального повышающего коэффициента к окладу(должностному окладу), ставке заработной платы (К4)</t>
  </si>
  <si>
    <t>Итого размер оклада(должностного оклада) ставка заработной платы с учетом повышающего персонального коэффициента, рублей 17гр.=(14гр.+16гр.)</t>
  </si>
  <si>
    <t>Компенсационный выплаты установленные трудовым законодательством и за внеаудиторную занятость, рублей</t>
  </si>
  <si>
    <t>Районный коэффициент, рублей</t>
  </si>
  <si>
    <t>Итого в месяц, рублей              31 гр. =(17гр.+29гр.+30гр)</t>
  </si>
  <si>
    <t>Ф.И.О.</t>
  </si>
  <si>
    <t xml:space="preserve"> за специфику учреждения (К2)</t>
  </si>
  <si>
    <t xml:space="preserve"> за ученую степень, почетное звание(К3)</t>
  </si>
  <si>
    <t>Вредность (при наличии аттестации), рублей</t>
  </si>
  <si>
    <t>Ночные, вечерние, рублей</t>
  </si>
  <si>
    <t>Праздничные, рублей</t>
  </si>
  <si>
    <t>Проверка тетрадей, рублей</t>
  </si>
  <si>
    <t>Заведование кабинетом, лабораторией, рублей</t>
  </si>
  <si>
    <t>Классное руководство, рублей</t>
  </si>
  <si>
    <t>Прочие, руб</t>
  </si>
  <si>
    <t>Итого компенсационных выплат, рублей      99гр. =(19гр.+20гр.+21гр.+23гр.+25гр.+27гр.+28гр.)</t>
  </si>
  <si>
    <t>размер, (в долях от 1)</t>
  </si>
  <si>
    <t>сумма, рублей</t>
  </si>
  <si>
    <t>размер(в долях от 1)</t>
  </si>
  <si>
    <t>размер,%</t>
  </si>
  <si>
    <t>сумма</t>
  </si>
  <si>
    <t xml:space="preserve">размер, </t>
  </si>
  <si>
    <t>сумма, руб (формула проставляеться самостоятельно)</t>
  </si>
  <si>
    <t>размер</t>
  </si>
  <si>
    <t>Директор</t>
  </si>
  <si>
    <t>Зам.директора по УПР</t>
  </si>
  <si>
    <t>Зам.директора по ПО</t>
  </si>
  <si>
    <t>Зам.директора по ВР</t>
  </si>
  <si>
    <t>Зам.директора по УР</t>
  </si>
  <si>
    <t>Зам.директора по безопасности</t>
  </si>
  <si>
    <t>Главный бухгалтер</t>
  </si>
  <si>
    <t>Зам.директора по АХЧ</t>
  </si>
  <si>
    <t>Зав.дневным отделением</t>
  </si>
  <si>
    <t>Зав.заочным отделением</t>
  </si>
  <si>
    <t>Старший  мастер</t>
  </si>
  <si>
    <t>Зав.производством</t>
  </si>
  <si>
    <t>Преподаватель</t>
  </si>
  <si>
    <t>ПКГ должностей руководителей, специалистов и служащих в сфере образования</t>
  </si>
  <si>
    <t>"--//--"</t>
  </si>
  <si>
    <t>Преподаватель русс.яз и лит-ры</t>
  </si>
  <si>
    <t>Преподаватель коррекция</t>
  </si>
  <si>
    <t xml:space="preserve">Преподаватель </t>
  </si>
  <si>
    <t xml:space="preserve">Преподаватель русс.яз и лит-ры </t>
  </si>
  <si>
    <t xml:space="preserve">Мастер производ.обучения </t>
  </si>
  <si>
    <t>Мастер производ.обуч.коррекция</t>
  </si>
  <si>
    <t xml:space="preserve">Руководитель физвоспитания </t>
  </si>
  <si>
    <t>Старший методист</t>
  </si>
  <si>
    <t xml:space="preserve">Методист </t>
  </si>
  <si>
    <t xml:space="preserve">Педагог-психолог </t>
  </si>
  <si>
    <t xml:space="preserve">Педагог доп.образования </t>
  </si>
  <si>
    <t xml:space="preserve">Социальный педагог </t>
  </si>
  <si>
    <t>Тренер-преподаватель</t>
  </si>
  <si>
    <t>Бухгалтер</t>
  </si>
  <si>
    <t>ПКГ общеотраслевых должностей руководителей, специалистов и служащих в сфере образования</t>
  </si>
  <si>
    <t>Экономист</t>
  </si>
  <si>
    <t xml:space="preserve">Специалист по кадрам </t>
  </si>
  <si>
    <t>Секретарь руководителя</t>
  </si>
  <si>
    <t>Делопроизводитель</t>
  </si>
  <si>
    <t>Лаборант</t>
  </si>
  <si>
    <t>Механик</t>
  </si>
  <si>
    <t xml:space="preserve">Техник инвент.строений </t>
  </si>
  <si>
    <t>Секретарь учебной части</t>
  </si>
  <si>
    <t>Диспетчер образ.учреждения</t>
  </si>
  <si>
    <t>Программист</t>
  </si>
  <si>
    <t>Художник</t>
  </si>
  <si>
    <t>Хранитель музея</t>
  </si>
  <si>
    <t>Библиотекарь</t>
  </si>
  <si>
    <t>Юрисконсульт</t>
  </si>
  <si>
    <t>Слесарь-ремонтник</t>
  </si>
  <si>
    <t>ПКГ профессий рабочих в сфере образования</t>
  </si>
  <si>
    <t>Слесарь-инструментальщик</t>
  </si>
  <si>
    <t>Водитель легкового авто</t>
  </si>
  <si>
    <t>Водитель грузового авто</t>
  </si>
  <si>
    <t>Столяр</t>
  </si>
  <si>
    <t>Электромонтер</t>
  </si>
  <si>
    <t>Сантехник</t>
  </si>
  <si>
    <t>Штукатур</t>
  </si>
  <si>
    <t>Сторож</t>
  </si>
  <si>
    <t>Уборщик служебных помещений</t>
  </si>
  <si>
    <t>Уборщик территории</t>
  </si>
  <si>
    <t>Повар</t>
  </si>
  <si>
    <t>Кухонный рабочий</t>
  </si>
  <si>
    <t>Мойщик посуды</t>
  </si>
  <si>
    <t>Кладовщик</t>
  </si>
  <si>
    <t>Всего:</t>
  </si>
  <si>
    <t>1. Исходные данные</t>
  </si>
  <si>
    <t>4. Итого уточненные данные в ПФХД (сравнение с целями)</t>
  </si>
  <si>
    <t>В год</t>
  </si>
  <si>
    <t>в месяц</t>
  </si>
  <si>
    <t>1. Производительность труда по ГЗ</t>
  </si>
  <si>
    <t>1.1.темп роста приведенного контингента к прошлому году</t>
  </si>
  <si>
    <t>%</t>
  </si>
  <si>
    <t>1.2.Численность основного персонала по производительности труда</t>
  </si>
  <si>
    <t>чел</t>
  </si>
  <si>
    <t>3. Распределение планового фонда заработной платы бюджет</t>
  </si>
  <si>
    <t xml:space="preserve">5. распределение лимитов ФЗП  по бюджету по месяцам года пропорционально начислениям  в текущем году </t>
  </si>
  <si>
    <t>1.3.ФОТ всего (бюджет+внебюджет)</t>
  </si>
  <si>
    <t>ФЗП тариф основ.педаг. Работников (по Указу) в  месяц по штатн распис бюджет (с р.к.)</t>
  </si>
  <si>
    <t>ФЗП компен основных педаг работников (по Указу) мес по штатному расписан бюджет(с р.к.)</t>
  </si>
  <si>
    <t>ФЗП тариф прочих педаг (без Указа) в месяц по штат расп бюджет(с р.к.)</t>
  </si>
  <si>
    <t>ФЗП компен прочих педаг (без Указа) в месяц по штатн распис бюджет(с р.к.)</t>
  </si>
  <si>
    <t>ФЗП тариф прочего персонала в  месяц (с р.к.)</t>
  </si>
  <si>
    <t>ФЗП компен прочего персонала в мес по штатн распис бюджет (с р.к.)</t>
  </si>
  <si>
    <t>доля премии по итогам работы в фонде стимулирования, не менее 60%</t>
  </si>
  <si>
    <t>максим расходы на премию за качество для  педаг.персонала в  месяц, с р.к., руб (по приказам)</t>
  </si>
  <si>
    <t>максим расходы на премию за качество для  прочего персонала в  месяц, с р.к., руб (по приказам)</t>
  </si>
  <si>
    <t>макс расходы на премию за стаж работы для педагог.персонала в месяц, с р.к.,руб (по приказам)</t>
  </si>
  <si>
    <t>макс расходы на премию за стаж работы для прочего персонала в месяц, с р.к.,руб (по приказам)</t>
  </si>
  <si>
    <t>доля разовых премий и Матпомощи  (без р.к., т.к. не начисляется), не более 5%,</t>
  </si>
  <si>
    <t>январь</t>
  </si>
  <si>
    <t>февраль</t>
  </si>
  <si>
    <t>март</t>
  </si>
  <si>
    <t>Итого 1 квартал</t>
  </si>
  <si>
    <t>апрель</t>
  </si>
  <si>
    <t>май</t>
  </si>
  <si>
    <t>июнь</t>
  </si>
  <si>
    <t>Итого 2 квартал</t>
  </si>
  <si>
    <t>итого 1 полугодие</t>
  </si>
  <si>
    <t>июль</t>
  </si>
  <si>
    <t>август</t>
  </si>
  <si>
    <t>сентябрь</t>
  </si>
  <si>
    <t>Итого 3квартал</t>
  </si>
  <si>
    <t>итого 9 месяцев</t>
  </si>
  <si>
    <t>октябрь</t>
  </si>
  <si>
    <t>ноябрь</t>
  </si>
  <si>
    <t>декабрь</t>
  </si>
  <si>
    <t>Итого 4 квартал</t>
  </si>
  <si>
    <t>итого год, (равно данным раздела 3 х 12 мес)</t>
  </si>
  <si>
    <t>К</t>
  </si>
  <si>
    <t>ФЗП 1 кал.дня всех работников, руб</t>
  </si>
  <si>
    <t>1.4.расходы ФОТ по внебюджету, по 211 экр (без  2 ст)</t>
  </si>
  <si>
    <t>5.1. число календ.дн. б/праз, с выходными, 5-дневка (для всех единый)-уточняем по календарю 2017</t>
  </si>
  <si>
    <t>1.5.ФОТ по нормативу (без 2 ст) бюджет 211. год</t>
  </si>
  <si>
    <t>тыс.руб.</t>
  </si>
  <si>
    <t>(корректируем формулу, если прочие педагоги входят в основной персонал)</t>
  </si>
  <si>
    <t>(если прочие педагоги входят в основной персонал, то значение ноль)</t>
  </si>
  <si>
    <t>плановая Доля</t>
  </si>
  <si>
    <t>ФОТ основных педагогов (по Указу)</t>
  </si>
  <si>
    <t>ФОТ проч педагог (вне указа)</t>
  </si>
  <si>
    <t>ФОТ педагогов всего</t>
  </si>
  <si>
    <t>Фот прочего перс</t>
  </si>
  <si>
    <t>Итого ФОТ распред</t>
  </si>
  <si>
    <t>(+)излишек, (-)недост ФЗП на аутсорсинг</t>
  </si>
  <si>
    <t xml:space="preserve"> всего лимиты</t>
  </si>
  <si>
    <t>5.16. Раздел педагоги. Фактическое начисл ФЗП по году с резервом (+1/12 рез )</t>
  </si>
  <si>
    <t>1.6.расходы из ФОТ нормативного на госуслугу на аутсорсинг (без 2 ст)</t>
  </si>
  <si>
    <t>из данных р.1</t>
  </si>
  <si>
    <t xml:space="preserve">1.Тарифная часть с районным коэффициентом </t>
  </si>
  <si>
    <t>5.5. ФОТ тариф педагогов с рк (раздел 3 стр.1), распределен пропорц раб.дням</t>
  </si>
  <si>
    <t>1.7.расходы на аутсорсинг (за счет иных источников финансового обеспечения)</t>
  </si>
  <si>
    <t>2.Компенсационные выплаты с районным коэффициентом</t>
  </si>
  <si>
    <t>5.6. ФОТ комп с рк педаг, распред пропорц раб дням</t>
  </si>
  <si>
    <t>1.8.Сальдо расчетов по зарплате на 01.01.-211 ЭКР (+кредитор.задол;- дебитор.зад.)за счет  бюджета</t>
  </si>
  <si>
    <t>доп.лим. на кредиторку из р.3</t>
  </si>
  <si>
    <t>3.Базовая часть фонда оплаты труда с р.к.(17гр+29гр)</t>
  </si>
  <si>
    <t>5.7. итого базовая с рк</t>
  </si>
  <si>
    <t>1.9.Сальдо расчетов по зарплате на 01.01.-211 ЭКР (+кредитор.задол;- дебитор.зад.)за счет  внебюджета</t>
  </si>
  <si>
    <t>доп.лим. на кредиторку</t>
  </si>
  <si>
    <t>????</t>
  </si>
  <si>
    <t>4.ФОТ резерв  отпускных (из раздела1)</t>
  </si>
  <si>
    <t>% базовой</t>
  </si>
  <si>
    <t>1.10.передвижка свободных лимитов по 211 ЭКР на другие статьи расхода по смете</t>
  </si>
  <si>
    <t>передв.лим. на др.ЭКР из р.3</t>
  </si>
  <si>
    <r>
      <rPr>
        <b/>
        <sz val="14"/>
        <rFont val="Arial"/>
        <family val="2"/>
        <charset val="204"/>
      </rPr>
      <t>5.</t>
    </r>
    <r>
      <rPr>
        <b/>
        <sz val="11"/>
        <rFont val="Arial"/>
        <family val="2"/>
        <charset val="204"/>
      </rPr>
      <t>Стимулирующая часть с районным коэффициентом-предварительное распределение (ФОТ всего (раздел1) -ФОТ базов  (п.3)-ФОТ резерв(п.4)</t>
    </r>
  </si>
  <si>
    <t>5.2. График ухода в  отпуск педагогов , с указанием дней отпусков в месяце, чел-дни ( равен разд 1 стр. 1.28) по табелю рабочего времени</t>
  </si>
  <si>
    <t>1.12.лимит ФЗП  бюджет (с кредитор)- всего</t>
  </si>
  <si>
    <t>всего (стр 1,13+1,8)</t>
  </si>
  <si>
    <t>контроль лишний ФОТ, возможно к уменьшению за счет внебюджета( тыс.руб. в год)</t>
  </si>
  <si>
    <t>5.1.% доля ФОТ стим к ФОТ тариф части</t>
  </si>
  <si>
    <t>5.2.1. График ухода в  отпуск педагогов , с указанием дней отпуска в момент ухода, чел-дни ( равен разд 1 стр. 1.28)для начисления отпускных</t>
  </si>
  <si>
    <t xml:space="preserve">1.13.в т.ч. лимит по ФЗП  </t>
  </si>
  <si>
    <t>из р.3 стр 5.12</t>
  </si>
  <si>
    <t>5.2.премии по итогам работы, не менее 60% (п.5 х долю премии в ФОТ стим.)</t>
  </si>
  <si>
    <t>5.3. дни отпус на 1 педаг (Числ по ПТ) стр5.2.1./стр1.22</t>
  </si>
  <si>
    <t>рапределение по графику дней отпуска педагогов</t>
  </si>
  <si>
    <t>февраль 0,1; март 0,4;июнь10 дней; июль31; август 14,5, итого 56</t>
  </si>
  <si>
    <t>1.14.Целев ЗП с внеб (преп+маст) по ГосЗаданию</t>
  </si>
  <si>
    <t>5.7. принято в распред прем по итогам, не менее 60%</t>
  </si>
  <si>
    <t>5.4. Начислен  резерв отпускных педаг. Равномерно 1/12 часть(стр 5,3х стр.1,34)</t>
  </si>
  <si>
    <t>1.15.доля внебюджета в ЗП</t>
  </si>
  <si>
    <t>5.6. за интенсивность (за разницей п.5-5.2-5.3-5.4-5.5)</t>
  </si>
  <si>
    <t>.% резерва</t>
  </si>
  <si>
    <t>1.16.Цел ЗП основ педаг персонала (по указу) по бюджету</t>
  </si>
  <si>
    <t>руб/мес</t>
  </si>
  <si>
    <t>5.4.за качество (по факту из приказов)</t>
  </si>
  <si>
    <t>5.8. Начисление фактических  отпускных  педагогов за все дни,за счет резерва , итог равен резерву (стр.5.2. х стоимость 1 ч-д графа АТ)</t>
  </si>
  <si>
    <t>1.17.доля ФОТ прочего в общем фонде по Госзаданию</t>
  </si>
  <si>
    <t>план по ГЗ/ факт по 1-му вар. Распределения фот,%</t>
  </si>
  <si>
    <t>5.5.  за стаж (по факту из приказов)</t>
  </si>
  <si>
    <t>5.15. стимулир с рк-всего</t>
  </si>
  <si>
    <t>1.18.факт ЗП проч педперсон, на уровне прошлого года , за вычетом доли из внебюджета</t>
  </si>
  <si>
    <t>5.3. разовые выплаты и МП (п.5 х долю МП в ФОТ стим.)</t>
  </si>
  <si>
    <t>% стимулир</t>
  </si>
  <si>
    <t>1.19.численность работников всего</t>
  </si>
  <si>
    <t>сокращение штата персонала</t>
  </si>
  <si>
    <t>5.8. принят в распределение прочие выплаты и МП (не более 5%)</t>
  </si>
  <si>
    <t>5.9. Число отработ календ дней педагогами за предыдущий премиальн период(в расчете  на 1 работн ) 1полуг-июль-декабрь;2полуг-янв-июнь</t>
  </si>
  <si>
    <t>январь-июнь- получают за июль-декабрь предыдущег года</t>
  </si>
  <si>
    <t xml:space="preserve">1 полугодие календарь-дни отпуска на 1 педагога по графику:июль-31-31отп=0; авг 31-14,5 отп=16,5; сент-30; отк 31; нояб-30; дек31, итого138,5 дн </t>
  </si>
  <si>
    <t>2 полугодие- с января по июль- январь24; февраль27-0,1=26,9; март 29-0,4=28,6; апрель30; май27, июнь29-10отп=19, итого 155,5</t>
  </si>
  <si>
    <t>всего 138,5+155,5=294 дней по году</t>
  </si>
  <si>
    <t>1.20.фактическая численность основного педагогического персонала (по Указам Президента)</t>
  </si>
  <si>
    <t>сокращение штата педперсонала</t>
  </si>
  <si>
    <t>5.1. Итого ФОТ, цел ЗП осн.педперсон х Ч факт осн.перс(раздел1);цел. ПТ; ЗП прочего персонала-как разница между лимитом и ФОТ  педперсон, план лим ФОТ=ФОТ норм-ФОТаутсорсинг</t>
  </si>
  <si>
    <t>5.10. по итогам работы с рк (пропор.отраб.раб.дням стр 5.9. и стоимости 1 дня -графа АТ)</t>
  </si>
  <si>
    <t>1.21.фактическая численность прочих педагогов, не входящих в Указ</t>
  </si>
  <si>
    <t>5.9.расчетная плановая  ЗП (первое значение)</t>
  </si>
  <si>
    <t>%  по итогам</t>
  </si>
  <si>
    <t>1.22.итого педагоги</t>
  </si>
  <si>
    <t xml:space="preserve">5.10 темп роста плановой ЗП (п.5.9.) к целевому значению (раздел1) </t>
  </si>
  <si>
    <t>5.11.1. Число факт отработ в месяце календ дней педагогами (в расчете  на 1 работн )</t>
  </si>
  <si>
    <t>1.23.фактическая численность  прочего персонала</t>
  </si>
  <si>
    <t>сокращение штата прочего персонала</t>
  </si>
  <si>
    <t xml:space="preserve">5.11. ФОТ с выполнением  целевой ЗП (раздел1), целевой долей прочего перс (раздел1),  в пределах  фонда по нормативу </t>
  </si>
  <si>
    <t>5.11.интенсивность с рк (пропорц числу раб дней стр.5.11.1 и стоим 1 дня граф АТ)</t>
  </si>
  <si>
    <t>1.24.численность персонала, предполагаемая к переводу в аутсорсинг в планируемом году</t>
  </si>
  <si>
    <t xml:space="preserve">5.12 ФОТ итого с выполнением  целевой ЗП (раздел1),целевой  долей прочего перс (раздел1), </t>
  </si>
  <si>
    <t>% интенс</t>
  </si>
  <si>
    <t>1.25.итого численность прочего персонала (за выч. Переводимого в аутсорс)</t>
  </si>
  <si>
    <t>5.13.  расчетная плановая ЗП (второе значение), при сохранении прочего контингента</t>
  </si>
  <si>
    <t>5.12. за качество с рк (пропорц числу раб дней стр.5.11 и стоим 1 дня граф АТ</t>
  </si>
  <si>
    <t>1,26.</t>
  </si>
  <si>
    <t xml:space="preserve">5.14. темп роста к цели </t>
  </si>
  <si>
    <t>% качеcтво</t>
  </si>
  <si>
    <t>1,27чел-дни отпуска всего персонала по графику отпускных в планируемом году</t>
  </si>
  <si>
    <t>чел-дни</t>
  </si>
  <si>
    <t>5.15. Установление плановой  численности прочего персонала для выполнения доли ФОТ прочего и  сохранения ЗП прочего персонала</t>
  </si>
  <si>
    <t>5.13.за стаж с рк (пропорц числу раб дней стр.5.11 и стоим 1 дня граф АТ)</t>
  </si>
  <si>
    <t xml:space="preserve">1,28.в т.ч. чел-дни отпуска всех педагогических работников </t>
  </si>
  <si>
    <t>5.16. Дополнительное Сокращение численности прочего персонала (-сокращение; +ввод)</t>
  </si>
  <si>
    <t>% стаж</t>
  </si>
  <si>
    <t>1,29.чел-дни отпуска прочего персонала</t>
  </si>
  <si>
    <t>5.17. Итого плановое значение ЗП с учетом целевой ЗП, доли ФОТ и Ч прочего персонала</t>
  </si>
  <si>
    <t>5.14. разов и МП (без рк) (пропорц числу раб дней стр.5.11 и стоим 1 дня граф АТ)</t>
  </si>
  <si>
    <t>1,30.стоимость 1 чел-дня всего перс</t>
  </si>
  <si>
    <t>руб/день</t>
  </si>
  <si>
    <t xml:space="preserve">5.18.  темп роста плановой ЗП (п.5.17.) к целевому значению (раздел1) </t>
  </si>
  <si>
    <t>%разов и МП</t>
  </si>
  <si>
    <t>1,.31.стоимость 1 чел-дня педагогов</t>
  </si>
  <si>
    <t>5.19.ОкончательноеРаспредление Стимулирующая часть с районным коэффициентом (п.5.12-п.3 базов-п.4 резерв)</t>
  </si>
  <si>
    <t>5.17. ФЗП  кассовые выплаты педагогам по году в ПФХД (начисл за раб.дни +отпускные)</t>
  </si>
  <si>
    <t>1,32,Стоимость 1 чел-дня прочих</t>
  </si>
  <si>
    <t>% стим к тариф части</t>
  </si>
  <si>
    <t>сред. ЗП педагогов по начисл ФОТ с отп.</t>
  </si>
  <si>
    <t>1,33.ФОТ резерв  всего перс</t>
  </si>
  <si>
    <t>5.20.премии по итогам работы, не менее 60% (п.5.19 х60% и более)</t>
  </si>
  <si>
    <t>%  к установленной целевой зарплате с внебюджетом</t>
  </si>
  <si>
    <t>1,34,ФОТ резерв  педагогов</t>
  </si>
  <si>
    <t>5.20. принято в распред прем по итогам</t>
  </si>
  <si>
    <t xml:space="preserve">5.30. Раздел прочий персонал-лимит в ПФХД </t>
  </si>
  <si>
    <t>1,35,ФОТ резерв прочих</t>
  </si>
  <si>
    <t>5.24.за интенсивность (разность всего Ф стим- все выплаты)</t>
  </si>
  <si>
    <t>5.21. тарифная часть прочего персона  с рк</t>
  </si>
  <si>
    <t>1,36,исло дней отпуска на 1 работника</t>
  </si>
  <si>
    <t>% роста сред ЗП к цели или прошлому году</t>
  </si>
  <si>
    <t>Контроль</t>
  </si>
  <si>
    <t>Районный коэффициент (по категор пропорц доле р.к. в ФОТ)</t>
  </si>
  <si>
    <t>по выплатам стимулирующего характера (ФОТ-все выплаты)</t>
  </si>
  <si>
    <t>Плановый Среднемесячный размер оплаты труда на одного работника (целевое значение), руб.</t>
  </si>
  <si>
    <t>Среднемесячный размер оплаты труда на одного работника- факт прошлого года, руб.</t>
  </si>
  <si>
    <t>Фонд оплаты труда в год, руб. (гр.3 х гр.4 х (1+ гр. 8/100) х гр. 9 х 12);(распределен по категор, пропорц темпу роста ср.зп всего проч персонала)</t>
  </si>
  <si>
    <t>в том числе  отпускные (по категор.пропорц числ или чел-дням)</t>
  </si>
  <si>
    <t>доля Ф стим в общем ФОТ</t>
  </si>
  <si>
    <t>Фонд оплаты труда -бюджет</t>
  </si>
  <si>
    <t>1. Расчетная таблица к Фонду заработной платы по бюджету (приложение к ПФХД)</t>
  </si>
  <si>
    <t>III. Показатели по поступлениям и выплатам муниципального учреждения</t>
  </si>
  <si>
    <t>II. Показатели финансового состояния муниципального учреждения</t>
  </si>
  <si>
    <t>МКУ "Управление образования Беловского муниципального района"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</si>
  <si>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</si>
  <si>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</si>
  <si>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Бессрочно</t>
  </si>
  <si>
    <t xml:space="preserve">I.  Сведения о деятельности муниципального бюджетного учреждения </t>
  </si>
  <si>
    <t>2.1. Перечень муниципальных услуг (работ):</t>
  </si>
  <si>
    <t xml:space="preserve"> Водоснабжение, всего</t>
  </si>
  <si>
    <t>шт</t>
  </si>
  <si>
    <t>Продукты питания (род.плат)</t>
  </si>
  <si>
    <t>заправка картриджей</t>
  </si>
  <si>
    <t>Пропитка крыш Договор КООВДПО</t>
  </si>
  <si>
    <t>обслужевание  инженерные сети Контракт 1 от 31.12.2016г. ООО "Энергорессурс"</t>
  </si>
  <si>
    <t>6.8. Расчет (обоснование) расходов на приобретение материальных запасов 341.343</t>
  </si>
  <si>
    <t>Забуга Р.В.</t>
  </si>
  <si>
    <t>Образовательная деятельность начальное и основное образование</t>
  </si>
  <si>
    <t>Код видов расходов__611___</t>
  </si>
  <si>
    <t>Источник финансового обеспечения___Областной бюджет____________</t>
  </si>
  <si>
    <t>6.7. Расчет (обоснование) расходов на приобретение основных средств 310</t>
  </si>
  <si>
    <t>в том числе:             остаточная стоимость</t>
  </si>
  <si>
    <t>из них:                     недвижимое имущество, всего:</t>
  </si>
  <si>
    <t>Административно-упралленческий аппорат</t>
  </si>
  <si>
    <t>Пед.персонал (осуществляющий учебный процесс0</t>
  </si>
  <si>
    <t>Пед.персона неосуществляющий учебный процесс0</t>
  </si>
  <si>
    <t>Учебно вспомогательный песонал</t>
  </si>
  <si>
    <t>6.10. Расчет (обоснование) расходов на приобретение материальных запасов 341</t>
  </si>
  <si>
    <t xml:space="preserve">Реализация основных общеобразовательных программ дошкольного образования </t>
  </si>
  <si>
    <t>Присмотр и уход</t>
  </si>
  <si>
    <t>Заведующий муниципального бюджетного (автономного) учреждения (подразделения)</t>
  </si>
  <si>
    <t>Фонд оплаты труда в год, руб. ((гр.4+ гр. 9) х 12)</t>
  </si>
  <si>
    <t>Источник финансового обеспечения Субсидия на выполнение муниципального задания</t>
  </si>
  <si>
    <t xml:space="preserve">Источник финансового обеспечения Субсидия на выполнение муниципального задания </t>
  </si>
  <si>
    <t>Код видов расходов 244</t>
  </si>
  <si>
    <t>6.3. Расчет (обоснование) расходов на оплату работ, услуг по содержанию имущества (225)</t>
  </si>
  <si>
    <t>Код видов расходов  244</t>
  </si>
  <si>
    <t>6.2. Расчет (обоснование) расходов на оплату коммунальных услуг  (223)</t>
  </si>
  <si>
    <t>6.1. Расчет (обоснование) расходов на оплату услуг связи (221)</t>
  </si>
  <si>
    <t>Код видов расходов 111</t>
  </si>
  <si>
    <t xml:space="preserve">1.1. Расчеты (обоснования) расходов на оплату труда </t>
  </si>
  <si>
    <t>Код видов расходов_119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</si>
  <si>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Федерасии, в Федеральный фонд обязательного медицинского страхования</t>
  </si>
  <si>
    <t>в том числе:                                                                 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</si>
  <si>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</si>
  <si>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</si>
  <si>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в том числе:                                                                       устранение неисправностей Контракт Мч-1.17/Ар ВИК от 01.01.2017г.ООО "Энергоресурс" ТОИС</t>
  </si>
  <si>
    <t>ВДПО №1 от 01.01.2017г.</t>
  </si>
  <si>
    <t>6.5. Расчет (обоснование) расходов на оплату прочих работ, услуг (226)</t>
  </si>
  <si>
    <t>Мед.осмотр  Контракт Беловская ЦРБ</t>
  </si>
  <si>
    <t>Оплата за приобретение (обновление) программного обеспечения Договор 004359/17 от 01.01.2017г. ООО "КИТ Сервис"</t>
  </si>
  <si>
    <t>Оплата за приобретение (обновление) программного обеспечения Договор 01840010/17 от 12.01.2017г. ПФ "СКБ Контур"</t>
  </si>
  <si>
    <t>Повышение квалификации дог.КРИПТО и ПРО</t>
  </si>
  <si>
    <t>Код видов расходов 851</t>
  </si>
  <si>
    <t>3.1. Расчет (обоснование) расходов на оплату налога на имущество (290)</t>
  </si>
  <si>
    <t>Гаврилюк А.А.</t>
  </si>
  <si>
    <t>Объем финансового обеспечения на 2019 год планового периода, руб.(с точностью до двух знаков после запятой - 0,00)</t>
  </si>
  <si>
    <t>ИНН / КПП                          4231005282/420201001</t>
  </si>
  <si>
    <t>Беловский р-он, с.Пермяки, ул.Больничная, 38А.</t>
  </si>
  <si>
    <t>Муниципальное бюджетное дошкольное образовательное учреждение "Пермяковский детский сад"</t>
  </si>
  <si>
    <t>Абоненская плата за номер Контракт 33157 от 01.01.2017г. ПАО "Ростелеком"</t>
  </si>
  <si>
    <t xml:space="preserve">Услуги интернета Контракт 2/2017 от 01.01.2017г. </t>
  </si>
  <si>
    <t>Контракт 610066 от 01.01.2017г. ЦМО ОАО "Кузбассэнергосбыт"</t>
  </si>
  <si>
    <t>Контракт П-1.17/В от 01.01.2017г.ООО "Энергоресурс"</t>
  </si>
  <si>
    <t>вывоз снега, мусора, твердых бытовых и промышленных отходов Контракт П-1.17/М от 01.01.2017г.ООО "Энергоресурс" вывоз ТБО</t>
  </si>
  <si>
    <t>дезинфекция, дезинсекция, дератизация, газация ФГУП "Профдезенфекция"№261 от 01.01.2017г.</t>
  </si>
  <si>
    <t>ТЭ ЭУЗ Муниципальный контракт 18 от 01.01.2017г. ООО "Стройавтоматика"</t>
  </si>
  <si>
    <t>ТО АУПОС Муниципальный контракт 18 от 01.01.2017г. ООО "Стройавтоматика"</t>
  </si>
  <si>
    <t>ТО ЭУЗ Муниципальный контракт 18 от 01.01.2017г. ООО "Стройавтоматика"</t>
  </si>
  <si>
    <t xml:space="preserve">Канц.принадлежности  Договор ООО "Сибирь" </t>
  </si>
  <si>
    <t>Продукты питания КонтрактПО "Пермяковское" от 01.01.2017г.</t>
  </si>
  <si>
    <t>130</t>
  </si>
  <si>
    <t>Поступление от оказания услуг на платной основе</t>
  </si>
  <si>
    <t>ПРОЕКТ</t>
  </si>
  <si>
    <t>"13" декабря  2017г.</t>
  </si>
  <si>
    <t xml:space="preserve">на 2018_  год  и на плановый период   2019____ и   2020__ годов </t>
  </si>
  <si>
    <t>"01"января 2018 г.</t>
  </si>
  <si>
    <t>на _01 января_ 2018_г.</t>
  </si>
  <si>
    <t>Объем финансового обеспечения 2018 год , руб.(с точностью до двух знаков после запятой - 0,00)</t>
  </si>
  <si>
    <t>Объем финансового обеспечения на 2020 год планового периода, руб.(с точностью до двух знаков после запятой - 0,00)</t>
  </si>
  <si>
    <t>на 01.01. 2018_ г.</t>
  </si>
  <si>
    <t>на 2018___г. очередной финансовый год</t>
  </si>
  <si>
    <t>на 2019___г.       1-ый год планового периода</t>
  </si>
  <si>
    <t>на 20_20__г.       2-ой год планового периода</t>
  </si>
  <si>
    <t>на 2018___г.                    очередной финансовый год</t>
  </si>
  <si>
    <t>на 2019___г.                       1-ый год планового периода</t>
  </si>
  <si>
    <t>на 20_20__г.            2-ой год планового периода</t>
  </si>
  <si>
    <t>на 01 января 2018 г.</t>
  </si>
  <si>
    <t>на 01 января 2018 год и на плановый период 2019 и 2020 годов</t>
  </si>
</sst>
</file>

<file path=xl/styles.xml><?xml version="1.0" encoding="utf-8"?>
<styleSheet xmlns="http://schemas.openxmlformats.org/spreadsheetml/2006/main">
  <numFmts count="5">
    <numFmt numFmtId="164" formatCode="#,##0.00_ ;[Red]\-#,##0.00\ "/>
    <numFmt numFmtId="165" formatCode="0.0"/>
    <numFmt numFmtId="166" formatCode="0.0000"/>
    <numFmt numFmtId="167" formatCode="0.000"/>
    <numFmt numFmtId="168" formatCode="000000"/>
  </numFmts>
  <fonts count="12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60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9"/>
      <name val="Times New Roman"/>
      <family val="1"/>
      <charset val="204"/>
    </font>
    <font>
      <sz val="12"/>
      <color indexed="30"/>
      <name val="Arial"/>
      <family val="2"/>
      <charset val="204"/>
    </font>
    <font>
      <i/>
      <sz val="9"/>
      <color indexed="60"/>
      <name val="Arial"/>
      <family val="2"/>
      <charset val="204"/>
    </font>
    <font>
      <b/>
      <sz val="12"/>
      <color indexed="30"/>
      <name val="Times New Roman"/>
      <family val="1"/>
      <charset val="204"/>
    </font>
    <font>
      <b/>
      <u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2"/>
      <color indexed="30"/>
      <name val="Arial"/>
      <family val="2"/>
      <charset val="204"/>
    </font>
    <font>
      <b/>
      <sz val="9"/>
      <color indexed="3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1"/>
      <color indexed="18"/>
      <name val="Times New Roman"/>
      <family val="1"/>
      <charset val="204"/>
    </font>
    <font>
      <sz val="12"/>
      <color indexed="18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2"/>
      <color indexed="60"/>
      <name val="Arial"/>
      <family val="2"/>
      <charset val="204"/>
    </font>
    <font>
      <sz val="14"/>
      <color indexed="3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8"/>
      <name val="Times New Roman"/>
      <family val="1"/>
      <charset val="204"/>
    </font>
    <font>
      <sz val="11"/>
      <color indexed="30"/>
      <name val="Arial"/>
      <family val="2"/>
      <charset val="204"/>
    </font>
    <font>
      <sz val="10"/>
      <color indexed="30"/>
      <name val="Arial"/>
      <family val="2"/>
      <charset val="204"/>
    </font>
    <font>
      <sz val="12"/>
      <color indexed="60"/>
      <name val="Arial"/>
      <family val="2"/>
      <charset val="204"/>
    </font>
    <font>
      <b/>
      <sz val="14"/>
      <color indexed="30"/>
      <name val="Times New Roman"/>
      <family val="1"/>
      <charset val="204"/>
    </font>
    <font>
      <sz val="10"/>
      <color indexed="60"/>
      <name val="Arial"/>
      <family val="2"/>
      <charset val="204"/>
    </font>
    <font>
      <b/>
      <sz val="16"/>
      <color indexed="60"/>
      <name val="Arial"/>
      <family val="2"/>
      <charset val="204"/>
    </font>
    <font>
      <b/>
      <sz val="14"/>
      <color indexed="60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2"/>
      <color indexed="56"/>
      <name val="Arial"/>
      <family val="2"/>
      <charset val="204"/>
    </font>
    <font>
      <b/>
      <sz val="11"/>
      <color indexed="57"/>
      <name val="Times New Roman"/>
      <family val="1"/>
      <charset val="204"/>
    </font>
    <font>
      <b/>
      <sz val="11"/>
      <color indexed="57"/>
      <name val="Arial"/>
      <family val="2"/>
      <charset val="204"/>
    </font>
    <font>
      <sz val="12"/>
      <color indexed="57"/>
      <name val="Arial"/>
      <family val="2"/>
      <charset val="204"/>
    </font>
    <font>
      <b/>
      <sz val="12"/>
      <color indexed="57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2"/>
      <color indexed="60"/>
      <name val="Arial"/>
      <family val="2"/>
      <charset val="204"/>
    </font>
    <font>
      <sz val="12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2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b/>
      <sz val="14"/>
      <color indexed="6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1"/>
      <color indexed="30"/>
      <name val="Arial"/>
      <family val="2"/>
      <charset val="204"/>
    </font>
    <font>
      <sz val="11"/>
      <color indexed="3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4"/>
      <color indexed="30"/>
      <name val="Arial"/>
      <family val="2"/>
      <charset val="204"/>
    </font>
    <font>
      <b/>
      <sz val="14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b/>
      <sz val="12"/>
      <color indexed="6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02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16" fontId="0" fillId="0" borderId="1" xfId="0" applyNumberFormat="1" applyBorder="1" applyAlignment="1">
      <alignment horizont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5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0" fillId="0" borderId="0" xfId="0" applyProtection="1"/>
    <xf numFmtId="0" fontId="13" fillId="0" borderId="0" xfId="0" applyFont="1" applyProtection="1"/>
    <xf numFmtId="0" fontId="14" fillId="0" borderId="0" xfId="0" applyFont="1" applyProtection="1"/>
    <xf numFmtId="0" fontId="0" fillId="0" borderId="0" xfId="0" applyFill="1" applyBorder="1" applyAlignment="1" applyProtection="1">
      <alignment horizontal="center" vertical="justify" wrapText="1"/>
    </xf>
    <xf numFmtId="0" fontId="14" fillId="0" borderId="0" xfId="0" applyFont="1" applyFill="1" applyBorder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 vertical="justify" wrapText="1"/>
    </xf>
    <xf numFmtId="0" fontId="15" fillId="0" borderId="0" xfId="0" applyFont="1" applyFill="1" applyBorder="1" applyProtection="1"/>
    <xf numFmtId="0" fontId="0" fillId="0" borderId="0" xfId="0" applyBorder="1" applyProtection="1"/>
    <xf numFmtId="0" fontId="0" fillId="0" borderId="1" xfId="0" applyFill="1" applyBorder="1" applyProtection="1"/>
    <xf numFmtId="0" fontId="16" fillId="2" borderId="1" xfId="0" applyFont="1" applyFill="1" applyBorder="1" applyProtection="1"/>
    <xf numFmtId="0" fontId="13" fillId="0" borderId="1" xfId="0" applyFont="1" applyFill="1" applyBorder="1" applyProtection="1"/>
    <xf numFmtId="0" fontId="14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0" fontId="14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Border="1" applyProtection="1"/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165" fontId="13" fillId="0" borderId="7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center"/>
    </xf>
    <xf numFmtId="0" fontId="21" fillId="0" borderId="0" xfId="0" applyFont="1" applyBorder="1" applyProtection="1"/>
    <xf numFmtId="0" fontId="21" fillId="0" borderId="0" xfId="0" applyFont="1" applyProtection="1"/>
    <xf numFmtId="0" fontId="23" fillId="0" borderId="0" xfId="0" applyFont="1" applyProtection="1"/>
    <xf numFmtId="0" fontId="21" fillId="0" borderId="0" xfId="0" applyFont="1" applyFill="1" applyBorder="1" applyAlignment="1" applyProtection="1">
      <alignment horizontal="center" vertical="justify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justify" wrapText="1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Protection="1"/>
    <xf numFmtId="0" fontId="13" fillId="3" borderId="1" xfId="0" applyFont="1" applyFill="1" applyBorder="1" applyAlignment="1" applyProtection="1">
      <alignment wrapText="1"/>
    </xf>
    <xf numFmtId="2" fontId="0" fillId="3" borderId="1" xfId="0" applyNumberFormat="1" applyFill="1" applyBorder="1" applyProtection="1"/>
    <xf numFmtId="0" fontId="15" fillId="3" borderId="1" xfId="0" applyFont="1" applyFill="1" applyBorder="1" applyProtection="1"/>
    <xf numFmtId="0" fontId="14" fillId="3" borderId="1" xfId="0" applyFont="1" applyFill="1" applyBorder="1" applyProtection="1"/>
    <xf numFmtId="0" fontId="0" fillId="0" borderId="1" xfId="0" applyFill="1" applyBorder="1" applyProtection="1">
      <protection locked="0"/>
    </xf>
    <xf numFmtId="0" fontId="25" fillId="0" borderId="1" xfId="0" applyFont="1" applyFill="1" applyBorder="1" applyAlignment="1" applyProtection="1">
      <alignment wrapText="1"/>
      <protection locked="0"/>
    </xf>
    <xf numFmtId="0" fontId="26" fillId="0" borderId="1" xfId="0" applyFont="1" applyFill="1" applyBorder="1" applyAlignment="1" applyProtection="1">
      <alignment wrapText="1"/>
      <protection locked="0"/>
    </xf>
    <xf numFmtId="0" fontId="25" fillId="0" borderId="1" xfId="0" applyFont="1" applyFill="1" applyBorder="1" applyProtection="1">
      <protection locked="0"/>
    </xf>
    <xf numFmtId="0" fontId="27" fillId="0" borderId="1" xfId="0" applyFont="1" applyFill="1" applyBorder="1" applyAlignment="1" applyProtection="1">
      <alignment horizontal="center" wrapText="1"/>
      <protection locked="0"/>
    </xf>
    <xf numFmtId="0" fontId="26" fillId="0" borderId="1" xfId="0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5" fillId="0" borderId="1" xfId="0" applyFont="1" applyBorder="1"/>
    <xf numFmtId="0" fontId="26" fillId="0" borderId="1" xfId="0" applyFont="1" applyBorder="1"/>
    <xf numFmtId="0" fontId="19" fillId="0" borderId="1" xfId="0" applyFont="1" applyBorder="1"/>
    <xf numFmtId="0" fontId="25" fillId="0" borderId="1" xfId="0" applyFont="1" applyFill="1" applyBorder="1"/>
    <xf numFmtId="0" fontId="26" fillId="0" borderId="1" xfId="0" applyFont="1" applyFill="1" applyBorder="1"/>
    <xf numFmtId="0" fontId="0" fillId="3" borderId="9" xfId="0" applyFill="1" applyBorder="1" applyProtection="1"/>
    <xf numFmtId="0" fontId="13" fillId="3" borderId="10" xfId="0" applyFont="1" applyFill="1" applyBorder="1" applyProtection="1"/>
    <xf numFmtId="0" fontId="0" fillId="3" borderId="10" xfId="0" applyFill="1" applyBorder="1" applyProtection="1"/>
    <xf numFmtId="2" fontId="13" fillId="3" borderId="10" xfId="0" applyNumberFormat="1" applyFont="1" applyFill="1" applyBorder="1" applyProtection="1"/>
    <xf numFmtId="2" fontId="0" fillId="3" borderId="10" xfId="0" applyNumberFormat="1" applyFill="1" applyBorder="1" applyProtection="1"/>
    <xf numFmtId="2" fontId="0" fillId="0" borderId="0" xfId="0" applyNumberFormat="1" applyProtection="1"/>
    <xf numFmtId="0" fontId="0" fillId="3" borderId="4" xfId="0" applyFill="1" applyBorder="1" applyProtection="1"/>
    <xf numFmtId="0" fontId="13" fillId="3" borderId="4" xfId="0" applyFont="1" applyFill="1" applyBorder="1" applyAlignment="1" applyProtection="1">
      <alignment wrapText="1"/>
    </xf>
    <xf numFmtId="2" fontId="0" fillId="3" borderId="4" xfId="0" applyNumberFormat="1" applyFill="1" applyBorder="1" applyProtection="1"/>
    <xf numFmtId="0" fontId="0" fillId="0" borderId="1" xfId="0" applyBorder="1" applyProtection="1">
      <protection locked="0"/>
    </xf>
    <xf numFmtId="0" fontId="25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8" fillId="0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0" borderId="1" xfId="0" applyNumberFormat="1" applyBorder="1"/>
    <xf numFmtId="2" fontId="0" fillId="4" borderId="1" xfId="0" applyNumberFormat="1" applyFill="1" applyBorder="1" applyProtection="1">
      <protection locked="0"/>
    </xf>
    <xf numFmtId="0" fontId="28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Border="1"/>
    <xf numFmtId="0" fontId="25" fillId="0" borderId="0" xfId="0" applyFont="1" applyProtection="1">
      <protection locked="0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165" fontId="0" fillId="3" borderId="1" xfId="0" applyNumberFormat="1" applyFill="1" applyBorder="1" applyProtection="1">
      <protection locked="0"/>
    </xf>
    <xf numFmtId="165" fontId="13" fillId="3" borderId="10" xfId="0" applyNumberFormat="1" applyFont="1" applyFill="1" applyBorder="1" applyProtection="1"/>
    <xf numFmtId="0" fontId="0" fillId="0" borderId="2" xfId="0" applyBorder="1" applyProtection="1">
      <protection locked="0"/>
    </xf>
    <xf numFmtId="0" fontId="19" fillId="0" borderId="1" xfId="0" applyFont="1" applyBorder="1" applyAlignment="1">
      <alignment wrapText="1"/>
    </xf>
    <xf numFmtId="0" fontId="21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19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0" fillId="3" borderId="11" xfId="0" applyFill="1" applyBorder="1" applyProtection="1"/>
    <xf numFmtId="0" fontId="13" fillId="3" borderId="12" xfId="0" applyFont="1" applyFill="1" applyBorder="1" applyProtection="1"/>
    <xf numFmtId="0" fontId="13" fillId="3" borderId="13" xfId="0" applyFont="1" applyFill="1" applyBorder="1" applyProtection="1"/>
    <xf numFmtId="165" fontId="0" fillId="3" borderId="13" xfId="0" applyNumberFormat="1" applyFill="1" applyBorder="1" applyProtection="1"/>
    <xf numFmtId="0" fontId="0" fillId="3" borderId="13" xfId="0" applyFill="1" applyBorder="1" applyProtection="1"/>
    <xf numFmtId="0" fontId="21" fillId="0" borderId="1" xfId="0" applyFont="1" applyFill="1" applyBorder="1" applyAlignment="1" applyProtection="1">
      <alignment wrapText="1"/>
      <protection locked="0"/>
    </xf>
    <xf numFmtId="166" fontId="0" fillId="0" borderId="1" xfId="0" applyNumberFormat="1" applyBorder="1"/>
    <xf numFmtId="0" fontId="0" fillId="0" borderId="2" xfId="0" applyBorder="1"/>
    <xf numFmtId="0" fontId="21" fillId="0" borderId="2" xfId="0" applyFont="1" applyFill="1" applyBorder="1" applyAlignment="1" applyProtection="1">
      <alignment horizontal="center" wrapText="1"/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3" borderId="2" xfId="0" applyNumberFormat="1" applyFill="1" applyBorder="1" applyProtection="1"/>
    <xf numFmtId="0" fontId="13" fillId="3" borderId="4" xfId="0" applyFont="1" applyFill="1" applyBorder="1" applyProtection="1"/>
    <xf numFmtId="165" fontId="16" fillId="3" borderId="10" xfId="0" applyNumberFormat="1" applyFont="1" applyFill="1" applyBorder="1" applyProtection="1"/>
    <xf numFmtId="2" fontId="16" fillId="3" borderId="10" xfId="0" applyNumberFormat="1" applyFont="1" applyFill="1" applyBorder="1" applyProtection="1"/>
    <xf numFmtId="0" fontId="0" fillId="3" borderId="12" xfId="0" applyFill="1" applyBorder="1" applyProtection="1"/>
    <xf numFmtId="0" fontId="0" fillId="3" borderId="14" xfId="0" applyFill="1" applyBorder="1" applyProtection="1"/>
    <xf numFmtId="0" fontId="0" fillId="3" borderId="0" xfId="0" applyFill="1" applyBorder="1" applyProtection="1"/>
    <xf numFmtId="0" fontId="20" fillId="0" borderId="0" xfId="0" applyFont="1" applyProtection="1"/>
    <xf numFmtId="0" fontId="29" fillId="0" borderId="0" xfId="0" applyFont="1" applyProtection="1"/>
    <xf numFmtId="2" fontId="16" fillId="3" borderId="0" xfId="0" applyNumberFormat="1" applyFont="1" applyFill="1" applyBorder="1" applyProtection="1"/>
    <xf numFmtId="0" fontId="0" fillId="5" borderId="6" xfId="0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15" fillId="5" borderId="1" xfId="0" applyFont="1" applyFill="1" applyBorder="1" applyAlignment="1" applyProtection="1">
      <alignment wrapText="1"/>
    </xf>
    <xf numFmtId="0" fontId="15" fillId="6" borderId="1" xfId="0" applyFont="1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0" fontId="13" fillId="5" borderId="1" xfId="0" applyFont="1" applyFill="1" applyBorder="1" applyProtection="1"/>
    <xf numFmtId="0" fontId="0" fillId="5" borderId="1" xfId="0" applyFill="1" applyBorder="1" applyProtection="1"/>
    <xf numFmtId="2" fontId="30" fillId="4" borderId="1" xfId="0" applyNumberFormat="1" applyFont="1" applyFill="1" applyBorder="1" applyProtection="1"/>
    <xf numFmtId="2" fontId="0" fillId="3" borderId="0" xfId="0" applyNumberFormat="1" applyFill="1" applyBorder="1" applyProtection="1"/>
    <xf numFmtId="0" fontId="14" fillId="5" borderId="1" xfId="0" applyFont="1" applyFill="1" applyBorder="1" applyAlignment="1" applyProtection="1">
      <alignment wrapText="1"/>
    </xf>
    <xf numFmtId="2" fontId="15" fillId="5" borderId="1" xfId="0" applyNumberFormat="1" applyFont="1" applyFill="1" applyBorder="1" applyAlignment="1" applyProtection="1">
      <alignment wrapText="1"/>
    </xf>
    <xf numFmtId="2" fontId="15" fillId="6" borderId="1" xfId="0" applyNumberFormat="1" applyFont="1" applyFill="1" applyBorder="1" applyAlignment="1" applyProtection="1">
      <alignment wrapText="1"/>
    </xf>
    <xf numFmtId="0" fontId="14" fillId="5" borderId="1" xfId="0" applyFont="1" applyFill="1" applyBorder="1" applyProtection="1"/>
    <xf numFmtId="1" fontId="29" fillId="5" borderId="1" xfId="0" applyNumberFormat="1" applyFont="1" applyFill="1" applyBorder="1" applyProtection="1"/>
    <xf numFmtId="0" fontId="0" fillId="7" borderId="1" xfId="0" applyFill="1" applyBorder="1" applyProtection="1"/>
    <xf numFmtId="0" fontId="31" fillId="0" borderId="0" xfId="0" applyFont="1" applyProtection="1"/>
    <xf numFmtId="0" fontId="0" fillId="0" borderId="0" xfId="0" applyAlignment="1" applyProtection="1">
      <alignment wrapText="1"/>
    </xf>
    <xf numFmtId="0" fontId="29" fillId="5" borderId="1" xfId="0" applyFont="1" applyFill="1" applyBorder="1" applyAlignment="1" applyProtection="1">
      <alignment wrapText="1"/>
    </xf>
    <xf numFmtId="2" fontId="29" fillId="5" borderId="1" xfId="0" applyNumberFormat="1" applyFont="1" applyFill="1" applyBorder="1" applyAlignment="1" applyProtection="1">
      <alignment wrapText="1"/>
    </xf>
    <xf numFmtId="2" fontId="29" fillId="6" borderId="1" xfId="0" applyNumberFormat="1" applyFont="1" applyFill="1" applyBorder="1" applyAlignment="1" applyProtection="1">
      <alignment wrapText="1"/>
    </xf>
    <xf numFmtId="0" fontId="29" fillId="6" borderId="1" xfId="0" applyFont="1" applyFill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6" fillId="8" borderId="1" xfId="0" applyFont="1" applyFill="1" applyBorder="1" applyAlignment="1" applyProtection="1">
      <alignment wrapText="1"/>
    </xf>
    <xf numFmtId="0" fontId="0" fillId="8" borderId="1" xfId="0" applyFill="1" applyBorder="1" applyAlignment="1" applyProtection="1">
      <alignment wrapText="1"/>
    </xf>
    <xf numFmtId="0" fontId="15" fillId="8" borderId="1" xfId="0" applyFont="1" applyFill="1" applyBorder="1" applyAlignment="1" applyProtection="1">
      <alignment wrapText="1"/>
    </xf>
    <xf numFmtId="0" fontId="33" fillId="8" borderId="1" xfId="0" applyFont="1" applyFill="1" applyBorder="1" applyAlignment="1" applyProtection="1">
      <alignment wrapText="1"/>
    </xf>
    <xf numFmtId="0" fontId="34" fillId="8" borderId="1" xfId="0" applyFont="1" applyFill="1" applyBorder="1" applyAlignment="1" applyProtection="1">
      <alignment wrapText="1"/>
    </xf>
    <xf numFmtId="0" fontId="19" fillId="8" borderId="1" xfId="0" applyFont="1" applyFill="1" applyBorder="1" applyAlignment="1" applyProtection="1">
      <alignment wrapText="1"/>
    </xf>
    <xf numFmtId="0" fontId="29" fillId="8" borderId="1" xfId="0" applyFont="1" applyFill="1" applyBorder="1" applyAlignment="1" applyProtection="1">
      <alignment wrapText="1"/>
    </xf>
    <xf numFmtId="0" fontId="13" fillId="5" borderId="1" xfId="0" applyFont="1" applyFill="1" applyBorder="1" applyAlignment="1" applyProtection="1">
      <alignment wrapText="1"/>
    </xf>
    <xf numFmtId="2" fontId="18" fillId="0" borderId="1" xfId="0" applyNumberFormat="1" applyFont="1" applyBorder="1" applyAlignment="1" applyProtection="1">
      <alignment wrapText="1"/>
    </xf>
    <xf numFmtId="2" fontId="34" fillId="6" borderId="1" xfId="0" applyNumberFormat="1" applyFont="1" applyFill="1" applyBorder="1" applyAlignment="1" applyProtection="1">
      <alignment wrapText="1"/>
    </xf>
    <xf numFmtId="9" fontId="30" fillId="4" borderId="1" xfId="1" applyFont="1" applyFill="1" applyBorder="1" applyAlignment="1" applyProtection="1">
      <alignment wrapText="1"/>
    </xf>
    <xf numFmtId="1" fontId="18" fillId="0" borderId="1" xfId="0" applyNumberFormat="1" applyFont="1" applyFill="1" applyBorder="1" applyAlignment="1" applyProtection="1">
      <alignment wrapText="1"/>
    </xf>
    <xf numFmtId="1" fontId="30" fillId="0" borderId="1" xfId="0" applyNumberFormat="1" applyFont="1" applyFill="1" applyBorder="1" applyAlignment="1" applyProtection="1">
      <alignment wrapText="1"/>
    </xf>
    <xf numFmtId="0" fontId="30" fillId="4" borderId="1" xfId="0" applyFont="1" applyFill="1" applyBorder="1" applyAlignment="1">
      <alignment wrapText="1"/>
    </xf>
    <xf numFmtId="0" fontId="30" fillId="4" borderId="1" xfId="0" applyFont="1" applyFill="1" applyBorder="1" applyAlignment="1" applyProtection="1">
      <alignment wrapText="1"/>
    </xf>
    <xf numFmtId="0" fontId="0" fillId="4" borderId="0" xfId="0" applyFill="1" applyBorder="1" applyAlignment="1">
      <alignment wrapText="1"/>
    </xf>
    <xf numFmtId="0" fontId="35" fillId="8" borderId="1" xfId="0" applyFont="1" applyFill="1" applyBorder="1" applyAlignment="1" applyProtection="1">
      <alignment wrapText="1"/>
    </xf>
    <xf numFmtId="0" fontId="30" fillId="8" borderId="1" xfId="0" applyFont="1" applyFill="1" applyBorder="1" applyAlignment="1" applyProtection="1">
      <alignment wrapText="1"/>
    </xf>
    <xf numFmtId="165" fontId="34" fillId="8" borderId="1" xfId="0" applyNumberFormat="1" applyFont="1" applyFill="1" applyBorder="1" applyAlignment="1" applyProtection="1">
      <alignment wrapText="1"/>
    </xf>
    <xf numFmtId="165" fontId="36" fillId="8" borderId="1" xfId="0" applyNumberFormat="1" applyFont="1" applyFill="1" applyBorder="1" applyAlignment="1" applyProtection="1">
      <alignment wrapText="1"/>
    </xf>
    <xf numFmtId="165" fontId="34" fillId="2" borderId="1" xfId="0" applyNumberFormat="1" applyFont="1" applyFill="1" applyBorder="1" applyAlignment="1" applyProtection="1">
      <alignment wrapText="1"/>
    </xf>
    <xf numFmtId="1" fontId="29" fillId="8" borderId="1" xfId="0" applyNumberFormat="1" applyFont="1" applyFill="1" applyBorder="1" applyAlignment="1" applyProtection="1">
      <alignment wrapText="1"/>
    </xf>
    <xf numFmtId="165" fontId="18" fillId="8" borderId="1" xfId="0" applyNumberFormat="1" applyFont="1" applyFill="1" applyBorder="1" applyProtection="1"/>
    <xf numFmtId="165" fontId="30" fillId="0" borderId="1" xfId="0" applyNumberFormat="1" applyFont="1" applyBorder="1" applyAlignment="1" applyProtection="1">
      <alignment wrapText="1"/>
    </xf>
    <xf numFmtId="165" fontId="29" fillId="6" borderId="1" xfId="0" applyNumberFormat="1" applyFont="1" applyFill="1" applyBorder="1" applyAlignment="1" applyProtection="1">
      <alignment wrapText="1"/>
    </xf>
    <xf numFmtId="1" fontId="29" fillId="6" borderId="1" xfId="0" applyNumberFormat="1" applyFont="1" applyFill="1" applyBorder="1" applyAlignment="1" applyProtection="1">
      <alignment wrapText="1"/>
    </xf>
    <xf numFmtId="0" fontId="37" fillId="7" borderId="15" xfId="0" applyFont="1" applyFill="1" applyBorder="1" applyAlignment="1" applyProtection="1">
      <alignment wrapText="1"/>
    </xf>
    <xf numFmtId="0" fontId="29" fillId="7" borderId="4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38" fillId="8" borderId="1" xfId="0" applyFont="1" applyFill="1" applyBorder="1" applyAlignment="1" applyProtection="1">
      <alignment wrapText="1"/>
    </xf>
    <xf numFmtId="165" fontId="29" fillId="8" borderId="1" xfId="0" applyNumberFormat="1" applyFont="1" applyFill="1" applyBorder="1" applyAlignment="1" applyProtection="1">
      <alignment wrapText="1"/>
    </xf>
    <xf numFmtId="165" fontId="18" fillId="5" borderId="5" xfId="0" applyNumberFormat="1" applyFont="1" applyFill="1" applyBorder="1" applyAlignment="1" applyProtection="1">
      <alignment wrapText="1"/>
    </xf>
    <xf numFmtId="165" fontId="18" fillId="0" borderId="1" xfId="0" applyNumberFormat="1" applyFont="1" applyBorder="1" applyAlignment="1" applyProtection="1">
      <alignment wrapText="1"/>
    </xf>
    <xf numFmtId="167" fontId="34" fillId="6" borderId="1" xfId="0" applyNumberFormat="1" applyFont="1" applyFill="1" applyBorder="1" applyAlignment="1" applyProtection="1">
      <alignment wrapText="1"/>
    </xf>
    <xf numFmtId="0" fontId="14" fillId="6" borderId="1" xfId="0" applyFont="1" applyFill="1" applyBorder="1" applyAlignment="1" applyProtection="1">
      <alignment wrapText="1"/>
    </xf>
    <xf numFmtId="0" fontId="13" fillId="7" borderId="1" xfId="0" applyFont="1" applyFill="1" applyBorder="1" applyAlignment="1" applyProtection="1">
      <alignment wrapText="1"/>
    </xf>
    <xf numFmtId="1" fontId="33" fillId="7" borderId="1" xfId="0" applyNumberFormat="1" applyFont="1" applyFill="1" applyBorder="1" applyAlignment="1" applyProtection="1">
      <alignment wrapText="1"/>
    </xf>
    <xf numFmtId="1" fontId="16" fillId="7" borderId="1" xfId="0" applyNumberFormat="1" applyFont="1" applyFill="1" applyBorder="1" applyAlignment="1" applyProtection="1">
      <alignment wrapText="1"/>
    </xf>
    <xf numFmtId="1" fontId="34" fillId="7" borderId="1" xfId="0" applyNumberFormat="1" applyFont="1" applyFill="1" applyBorder="1" applyAlignment="1" applyProtection="1">
      <alignment wrapText="1"/>
    </xf>
    <xf numFmtId="1" fontId="39" fillId="7" borderId="1" xfId="0" applyNumberFormat="1" applyFont="1" applyFill="1" applyBorder="1" applyAlignment="1" applyProtection="1">
      <alignment wrapText="1"/>
    </xf>
    <xf numFmtId="1" fontId="13" fillId="7" borderId="1" xfId="0" applyNumberFormat="1" applyFont="1" applyFill="1" applyBorder="1" applyAlignment="1" applyProtection="1">
      <alignment wrapText="1"/>
    </xf>
    <xf numFmtId="0" fontId="40" fillId="8" borderId="1" xfId="0" applyFont="1" applyFill="1" applyBorder="1" applyAlignment="1" applyProtection="1">
      <alignment wrapText="1"/>
    </xf>
    <xf numFmtId="165" fontId="15" fillId="5" borderId="1" xfId="0" applyNumberFormat="1" applyFont="1" applyFill="1" applyBorder="1" applyAlignment="1" applyProtection="1">
      <alignment wrapText="1"/>
    </xf>
    <xf numFmtId="165" fontId="18" fillId="8" borderId="5" xfId="0" applyNumberFormat="1" applyFont="1" applyFill="1" applyBorder="1" applyAlignment="1" applyProtection="1">
      <alignment wrapText="1"/>
    </xf>
    <xf numFmtId="0" fontId="18" fillId="0" borderId="1" xfId="0" applyFont="1" applyBorder="1" applyAlignment="1" applyProtection="1">
      <alignment wrapText="1"/>
    </xf>
    <xf numFmtId="0" fontId="34" fillId="6" borderId="1" xfId="0" applyFont="1" applyFill="1" applyBorder="1" applyAlignment="1" applyProtection="1">
      <alignment wrapText="1"/>
    </xf>
    <xf numFmtId="0" fontId="13" fillId="9" borderId="1" xfId="0" applyFont="1" applyFill="1" applyBorder="1" applyAlignment="1" applyProtection="1">
      <alignment wrapText="1"/>
    </xf>
    <xf numFmtId="165" fontId="34" fillId="6" borderId="1" xfId="0" applyNumberFormat="1" applyFont="1" applyFill="1" applyBorder="1" applyAlignment="1" applyProtection="1">
      <alignment wrapText="1"/>
    </xf>
    <xf numFmtId="0" fontId="42" fillId="6" borderId="1" xfId="0" applyFont="1" applyFill="1" applyBorder="1" applyAlignment="1" applyProtection="1">
      <alignment wrapText="1"/>
    </xf>
    <xf numFmtId="2" fontId="43" fillId="7" borderId="1" xfId="0" applyNumberFormat="1" applyFont="1" applyFill="1" applyBorder="1" applyAlignment="1" applyProtection="1">
      <alignment wrapText="1"/>
    </xf>
    <xf numFmtId="1" fontId="29" fillId="7" borderId="1" xfId="0" applyNumberFormat="1" applyFont="1" applyFill="1" applyBorder="1" applyAlignment="1" applyProtection="1">
      <alignment wrapText="1"/>
    </xf>
    <xf numFmtId="165" fontId="15" fillId="8" borderId="1" xfId="0" applyNumberFormat="1" applyFont="1" applyFill="1" applyBorder="1" applyAlignment="1" applyProtection="1">
      <alignment wrapText="1"/>
    </xf>
    <xf numFmtId="165" fontId="30" fillId="6" borderId="1" xfId="0" applyNumberFormat="1" applyFont="1" applyFill="1" applyBorder="1" applyAlignment="1" applyProtection="1">
      <alignment wrapText="1"/>
    </xf>
    <xf numFmtId="0" fontId="30" fillId="0" borderId="0" xfId="0" applyFont="1" applyAlignment="1" applyProtection="1">
      <alignment wrapText="1"/>
    </xf>
    <xf numFmtId="165" fontId="43" fillId="7" borderId="1" xfId="0" applyNumberFormat="1" applyFont="1" applyFill="1" applyBorder="1" applyAlignment="1" applyProtection="1">
      <alignment wrapText="1"/>
    </xf>
    <xf numFmtId="167" fontId="13" fillId="7" borderId="1" xfId="0" applyNumberFormat="1" applyFont="1" applyFill="1" applyBorder="1" applyAlignment="1" applyProtection="1">
      <alignment wrapText="1"/>
    </xf>
    <xf numFmtId="0" fontId="13" fillId="7" borderId="1" xfId="0" applyFont="1" applyFill="1" applyBorder="1" applyAlignment="1">
      <alignment wrapText="1"/>
    </xf>
    <xf numFmtId="165" fontId="34" fillId="2" borderId="1" xfId="0" applyNumberFormat="1" applyFont="1" applyFill="1" applyBorder="1" applyProtection="1"/>
    <xf numFmtId="9" fontId="44" fillId="7" borderId="1" xfId="0" applyNumberFormat="1" applyFont="1" applyFill="1" applyBorder="1" applyAlignment="1" applyProtection="1">
      <alignment wrapText="1"/>
    </xf>
    <xf numFmtId="0" fontId="0" fillId="7" borderId="1" xfId="0" applyFill="1" applyBorder="1" applyAlignment="1" applyProtection="1">
      <alignment wrapText="1"/>
    </xf>
    <xf numFmtId="0" fontId="0" fillId="7" borderId="1" xfId="0" applyFill="1" applyBorder="1" applyAlignment="1">
      <alignment wrapText="1"/>
    </xf>
    <xf numFmtId="0" fontId="16" fillId="7" borderId="1" xfId="0" applyFont="1" applyFill="1" applyBorder="1" applyAlignment="1" applyProtection="1">
      <alignment wrapText="1"/>
    </xf>
    <xf numFmtId="0" fontId="45" fillId="8" borderId="1" xfId="0" applyFont="1" applyFill="1" applyBorder="1" applyAlignment="1" applyProtection="1">
      <alignment wrapText="1"/>
    </xf>
    <xf numFmtId="0" fontId="30" fillId="0" borderId="1" xfId="0" applyFont="1" applyFill="1" applyBorder="1" applyAlignment="1" applyProtection="1">
      <alignment wrapText="1"/>
    </xf>
    <xf numFmtId="0" fontId="16" fillId="5" borderId="1" xfId="0" applyFont="1" applyFill="1" applyBorder="1" applyAlignment="1" applyProtection="1">
      <alignment wrapText="1"/>
    </xf>
    <xf numFmtId="165" fontId="46" fillId="6" borderId="1" xfId="0" applyNumberFormat="1" applyFont="1" applyFill="1" applyBorder="1" applyAlignment="1" applyProtection="1">
      <alignment wrapText="1"/>
    </xf>
    <xf numFmtId="9" fontId="0" fillId="7" borderId="1" xfId="0" applyNumberFormat="1" applyFill="1" applyBorder="1" applyAlignment="1" applyProtection="1">
      <alignment wrapText="1"/>
    </xf>
    <xf numFmtId="2" fontId="15" fillId="7" borderId="1" xfId="0" applyNumberFormat="1" applyFont="1" applyFill="1" applyBorder="1" applyAlignment="1" applyProtection="1">
      <alignment wrapText="1"/>
    </xf>
    <xf numFmtId="2" fontId="15" fillId="7" borderId="1" xfId="0" applyNumberFormat="1" applyFont="1" applyFill="1" applyBorder="1" applyAlignment="1">
      <alignment wrapText="1"/>
    </xf>
    <xf numFmtId="0" fontId="15" fillId="7" borderId="1" xfId="0" applyFont="1" applyFill="1" applyBorder="1" applyAlignment="1" applyProtection="1">
      <alignment wrapText="1"/>
    </xf>
    <xf numFmtId="165" fontId="15" fillId="7" borderId="1" xfId="0" applyNumberFormat="1" applyFont="1" applyFill="1" applyBorder="1" applyAlignment="1">
      <alignment wrapText="1"/>
    </xf>
    <xf numFmtId="0" fontId="47" fillId="0" borderId="1" xfId="0" applyFont="1" applyBorder="1" applyAlignment="1" applyProtection="1">
      <alignment wrapText="1"/>
    </xf>
    <xf numFmtId="0" fontId="19" fillId="0" borderId="1" xfId="0" applyFont="1" applyBorder="1" applyAlignment="1" applyProtection="1">
      <alignment wrapText="1"/>
    </xf>
    <xf numFmtId="1" fontId="29" fillId="5" borderId="1" xfId="0" applyNumberFormat="1" applyFont="1" applyFill="1" applyBorder="1" applyAlignment="1" applyProtection="1">
      <alignment wrapText="1"/>
    </xf>
    <xf numFmtId="2" fontId="44" fillId="5" borderId="1" xfId="0" applyNumberFormat="1" applyFont="1" applyFill="1" applyBorder="1" applyAlignment="1" applyProtection="1">
      <alignment wrapText="1"/>
    </xf>
    <xf numFmtId="9" fontId="33" fillId="7" borderId="1" xfId="0" applyNumberFormat="1" applyFont="1" applyFill="1" applyBorder="1" applyAlignment="1" applyProtection="1">
      <alignment wrapText="1"/>
    </xf>
    <xf numFmtId="1" fontId="15" fillId="7" borderId="1" xfId="0" applyNumberFormat="1" applyFont="1" applyFill="1" applyBorder="1" applyAlignment="1" applyProtection="1">
      <alignment wrapText="1"/>
    </xf>
    <xf numFmtId="0" fontId="40" fillId="8" borderId="1" xfId="0" applyFont="1" applyFill="1" applyBorder="1" applyAlignment="1" applyProtection="1">
      <alignment horizontal="center" wrapText="1"/>
    </xf>
    <xf numFmtId="165" fontId="29" fillId="8" borderId="1" xfId="0" applyNumberFormat="1" applyFont="1" applyFill="1" applyBorder="1" applyAlignment="1" applyProtection="1">
      <alignment horizontal="center" wrapText="1"/>
    </xf>
    <xf numFmtId="1" fontId="18" fillId="8" borderId="5" xfId="0" applyNumberFormat="1" applyFont="1" applyFill="1" applyBorder="1" applyAlignment="1" applyProtection="1">
      <alignment wrapText="1"/>
    </xf>
    <xf numFmtId="1" fontId="30" fillId="4" borderId="1" xfId="0" applyNumberFormat="1" applyFont="1" applyFill="1" applyBorder="1" applyAlignment="1" applyProtection="1">
      <alignment wrapText="1"/>
    </xf>
    <xf numFmtId="1" fontId="30" fillId="0" borderId="1" xfId="0" applyNumberFormat="1" applyFont="1" applyBorder="1" applyAlignment="1" applyProtection="1">
      <alignment wrapText="1"/>
    </xf>
    <xf numFmtId="9" fontId="13" fillId="7" borderId="1" xfId="0" applyNumberFormat="1" applyFont="1" applyFill="1" applyBorder="1" applyAlignment="1" applyProtection="1">
      <alignment wrapText="1"/>
    </xf>
    <xf numFmtId="167" fontId="29" fillId="5" borderId="1" xfId="0" applyNumberFormat="1" applyFont="1" applyFill="1" applyBorder="1" applyAlignment="1" applyProtection="1">
      <alignment wrapText="1"/>
    </xf>
    <xf numFmtId="1" fontId="48" fillId="7" borderId="1" xfId="0" applyNumberFormat="1" applyFont="1" applyFill="1" applyBorder="1" applyAlignment="1" applyProtection="1">
      <alignment wrapText="1"/>
    </xf>
    <xf numFmtId="0" fontId="48" fillId="7" borderId="1" xfId="0" applyFont="1" applyFill="1" applyBorder="1" applyAlignment="1" applyProtection="1">
      <alignment wrapText="1"/>
    </xf>
    <xf numFmtId="0" fontId="40" fillId="8" borderId="0" xfId="0" applyFont="1" applyFill="1" applyAlignment="1" applyProtection="1">
      <alignment wrapText="1"/>
    </xf>
    <xf numFmtId="2" fontId="15" fillId="8" borderId="2" xfId="0" applyNumberFormat="1" applyFont="1" applyFill="1" applyBorder="1" applyProtection="1"/>
    <xf numFmtId="165" fontId="34" fillId="8" borderId="2" xfId="0" applyNumberFormat="1" applyFont="1" applyFill="1" applyBorder="1" applyProtection="1"/>
    <xf numFmtId="165" fontId="36" fillId="8" borderId="2" xfId="0" applyNumberFormat="1" applyFont="1" applyFill="1" applyBorder="1" applyProtection="1"/>
    <xf numFmtId="2" fontId="34" fillId="8" borderId="2" xfId="0" applyNumberFormat="1" applyFont="1" applyFill="1" applyBorder="1" applyProtection="1"/>
    <xf numFmtId="0" fontId="18" fillId="8" borderId="16" xfId="0" applyFont="1" applyFill="1" applyBorder="1" applyAlignment="1" applyProtection="1">
      <alignment wrapText="1"/>
    </xf>
    <xf numFmtId="0" fontId="29" fillId="8" borderId="2" xfId="0" applyFont="1" applyFill="1" applyBorder="1" applyAlignment="1" applyProtection="1">
      <alignment wrapText="1"/>
    </xf>
    <xf numFmtId="165" fontId="18" fillId="8" borderId="2" xfId="0" applyNumberFormat="1" applyFont="1" applyFill="1" applyBorder="1" applyProtection="1"/>
    <xf numFmtId="1" fontId="34" fillId="6" borderId="1" xfId="0" applyNumberFormat="1" applyFont="1" applyFill="1" applyBorder="1" applyAlignment="1" applyProtection="1">
      <alignment wrapText="1"/>
    </xf>
    <xf numFmtId="165" fontId="0" fillId="8" borderId="1" xfId="0" applyNumberFormat="1" applyFill="1" applyBorder="1" applyAlignment="1" applyProtection="1">
      <alignment wrapText="1"/>
    </xf>
    <xf numFmtId="165" fontId="29" fillId="2" borderId="1" xfId="0" applyNumberFormat="1" applyFont="1" applyFill="1" applyBorder="1" applyAlignment="1" applyProtection="1">
      <alignment wrapText="1"/>
    </xf>
    <xf numFmtId="1" fontId="13" fillId="8" borderId="1" xfId="0" applyNumberFormat="1" applyFont="1" applyFill="1" applyBorder="1" applyAlignment="1" applyProtection="1">
      <alignment wrapText="1"/>
    </xf>
    <xf numFmtId="2" fontId="30" fillId="4" borderId="1" xfId="0" applyNumberFormat="1" applyFont="1" applyFill="1" applyBorder="1" applyAlignment="1" applyProtection="1">
      <alignment wrapText="1"/>
    </xf>
    <xf numFmtId="165" fontId="18" fillId="5" borderId="1" xfId="0" applyNumberFormat="1" applyFont="1" applyFill="1" applyBorder="1" applyAlignment="1" applyProtection="1">
      <alignment wrapText="1"/>
    </xf>
    <xf numFmtId="9" fontId="46" fillId="7" borderId="1" xfId="0" applyNumberFormat="1" applyFont="1" applyFill="1" applyBorder="1" applyAlignment="1" applyProtection="1">
      <alignment wrapText="1"/>
    </xf>
    <xf numFmtId="0" fontId="49" fillId="7" borderId="1" xfId="0" applyFont="1" applyFill="1" applyBorder="1" applyAlignment="1" applyProtection="1">
      <alignment wrapText="1"/>
    </xf>
    <xf numFmtId="0" fontId="49" fillId="7" borderId="1" xfId="0" applyFont="1" applyFill="1" applyBorder="1" applyAlignment="1">
      <alignment wrapText="1"/>
    </xf>
    <xf numFmtId="0" fontId="18" fillId="8" borderId="1" xfId="0" applyFont="1" applyFill="1" applyBorder="1" applyAlignment="1" applyProtection="1">
      <alignment wrapText="1"/>
    </xf>
    <xf numFmtId="1" fontId="30" fillId="6" borderId="1" xfId="0" applyNumberFormat="1" applyFont="1" applyFill="1" applyBorder="1" applyAlignment="1" applyProtection="1">
      <alignment wrapText="1"/>
    </xf>
    <xf numFmtId="9" fontId="20" fillId="7" borderId="1" xfId="0" applyNumberFormat="1" applyFont="1" applyFill="1" applyBorder="1" applyAlignment="1" applyProtection="1">
      <alignment wrapText="1"/>
    </xf>
    <xf numFmtId="0" fontId="20" fillId="7" borderId="1" xfId="0" applyFont="1" applyFill="1" applyBorder="1" applyAlignment="1" applyProtection="1">
      <alignment wrapText="1"/>
    </xf>
    <xf numFmtId="0" fontId="20" fillId="7" borderId="1" xfId="0" applyFont="1" applyFill="1" applyBorder="1" applyAlignment="1">
      <alignment wrapText="1"/>
    </xf>
    <xf numFmtId="1" fontId="20" fillId="7" borderId="1" xfId="0" applyNumberFormat="1" applyFont="1" applyFill="1" applyBorder="1" applyAlignment="1" applyProtection="1">
      <alignment wrapText="1"/>
    </xf>
    <xf numFmtId="0" fontId="50" fillId="10" borderId="1" xfId="0" applyFont="1" applyFill="1" applyBorder="1" applyAlignment="1" applyProtection="1">
      <alignment wrapText="1"/>
    </xf>
    <xf numFmtId="165" fontId="51" fillId="10" borderId="1" xfId="0" applyNumberFormat="1" applyFont="1" applyFill="1" applyBorder="1" applyAlignment="1" applyProtection="1">
      <alignment wrapText="1"/>
    </xf>
    <xf numFmtId="1" fontId="51" fillId="10" borderId="1" xfId="0" applyNumberFormat="1" applyFont="1" applyFill="1" applyBorder="1" applyAlignment="1" applyProtection="1">
      <alignment wrapText="1"/>
    </xf>
    <xf numFmtId="165" fontId="52" fillId="8" borderId="1" xfId="0" applyNumberFormat="1" applyFont="1" applyFill="1" applyBorder="1" applyAlignment="1" applyProtection="1">
      <alignment wrapText="1"/>
    </xf>
    <xf numFmtId="165" fontId="51" fillId="8" borderId="1" xfId="0" applyNumberFormat="1" applyFont="1" applyFill="1" applyBorder="1" applyAlignment="1" applyProtection="1">
      <alignment wrapText="1"/>
    </xf>
    <xf numFmtId="0" fontId="51" fillId="10" borderId="1" xfId="0" applyFont="1" applyFill="1" applyBorder="1" applyAlignment="1" applyProtection="1">
      <alignment wrapText="1"/>
    </xf>
    <xf numFmtId="165" fontId="18" fillId="8" borderId="1" xfId="0" applyNumberFormat="1" applyFont="1" applyFill="1" applyBorder="1" applyAlignment="1" applyProtection="1">
      <alignment wrapText="1"/>
    </xf>
    <xf numFmtId="0" fontId="18" fillId="0" borderId="7" xfId="0" applyFont="1" applyBorder="1" applyAlignment="1" applyProtection="1">
      <alignment wrapText="1"/>
    </xf>
    <xf numFmtId="0" fontId="53" fillId="7" borderId="1" xfId="0" applyFont="1" applyFill="1" applyBorder="1" applyAlignment="1" applyProtection="1">
      <alignment wrapText="1"/>
    </xf>
    <xf numFmtId="0" fontId="54" fillId="7" borderId="1" xfId="0" applyFont="1" applyFill="1" applyBorder="1" applyAlignment="1" applyProtection="1">
      <alignment wrapText="1"/>
    </xf>
    <xf numFmtId="165" fontId="15" fillId="7" borderId="1" xfId="0" applyNumberFormat="1" applyFont="1" applyFill="1" applyBorder="1" applyAlignment="1" applyProtection="1">
      <alignment wrapText="1"/>
    </xf>
    <xf numFmtId="2" fontId="29" fillId="8" borderId="1" xfId="0" applyNumberFormat="1" applyFont="1" applyFill="1" applyBorder="1" applyAlignment="1" applyProtection="1">
      <alignment wrapText="1"/>
    </xf>
    <xf numFmtId="1" fontId="56" fillId="7" borderId="1" xfId="0" applyNumberFormat="1" applyFont="1" applyFill="1" applyBorder="1" applyAlignment="1" applyProtection="1">
      <alignment wrapText="1"/>
    </xf>
    <xf numFmtId="0" fontId="18" fillId="8" borderId="5" xfId="0" applyFont="1" applyFill="1" applyBorder="1" applyAlignment="1" applyProtection="1">
      <alignment wrapText="1"/>
    </xf>
    <xf numFmtId="0" fontId="15" fillId="5" borderId="7" xfId="0" applyFont="1" applyFill="1" applyBorder="1" applyAlignment="1" applyProtection="1">
      <alignment wrapText="1"/>
    </xf>
    <xf numFmtId="2" fontId="29" fillId="7" borderId="1" xfId="0" applyNumberFormat="1" applyFont="1" applyFill="1" applyBorder="1" applyAlignment="1" applyProtection="1">
      <alignment wrapText="1"/>
    </xf>
    <xf numFmtId="2" fontId="29" fillId="7" borderId="1" xfId="0" applyNumberFormat="1" applyFont="1" applyFill="1" applyBorder="1" applyAlignment="1">
      <alignment wrapText="1"/>
    </xf>
    <xf numFmtId="1" fontId="54" fillId="6" borderId="1" xfId="0" applyNumberFormat="1" applyFont="1" applyFill="1" applyBorder="1" applyAlignment="1" applyProtection="1">
      <alignment wrapText="1"/>
    </xf>
    <xf numFmtId="165" fontId="29" fillId="7" borderId="1" xfId="0" applyNumberFormat="1" applyFont="1" applyFill="1" applyBorder="1" applyAlignment="1" applyProtection="1">
      <alignment wrapText="1"/>
    </xf>
    <xf numFmtId="0" fontId="58" fillId="7" borderId="1" xfId="0" applyFont="1" applyFill="1" applyBorder="1" applyAlignment="1" applyProtection="1">
      <alignment wrapText="1"/>
    </xf>
    <xf numFmtId="0" fontId="34" fillId="7" borderId="1" xfId="0" applyFont="1" applyFill="1" applyBorder="1" applyAlignment="1" applyProtection="1">
      <alignment wrapText="1"/>
    </xf>
    <xf numFmtId="1" fontId="53" fillId="7" borderId="1" xfId="0" applyNumberFormat="1" applyFont="1" applyFill="1" applyBorder="1" applyAlignment="1" applyProtection="1">
      <alignment wrapText="1"/>
    </xf>
    <xf numFmtId="165" fontId="29" fillId="7" borderId="1" xfId="0" applyNumberFormat="1" applyFont="1" applyFill="1" applyBorder="1" applyAlignment="1">
      <alignment wrapText="1"/>
    </xf>
    <xf numFmtId="0" fontId="14" fillId="9" borderId="1" xfId="0" applyFont="1" applyFill="1" applyBorder="1" applyAlignment="1" applyProtection="1">
      <alignment wrapText="1"/>
    </xf>
    <xf numFmtId="1" fontId="34" fillId="9" borderId="1" xfId="0" applyNumberFormat="1" applyFont="1" applyFill="1" applyBorder="1" applyAlignment="1" applyProtection="1">
      <alignment wrapText="1"/>
    </xf>
    <xf numFmtId="1" fontId="54" fillId="9" borderId="1" xfId="0" applyNumberFormat="1" applyFont="1" applyFill="1" applyBorder="1" applyAlignment="1" applyProtection="1">
      <alignment wrapText="1"/>
    </xf>
    <xf numFmtId="0" fontId="59" fillId="9" borderId="1" xfId="0" applyFont="1" applyFill="1" applyBorder="1" applyAlignment="1" applyProtection="1">
      <alignment wrapText="1"/>
    </xf>
    <xf numFmtId="0" fontId="0" fillId="9" borderId="1" xfId="0" applyFill="1" applyBorder="1" applyAlignment="1" applyProtection="1">
      <alignment wrapText="1"/>
    </xf>
    <xf numFmtId="0" fontId="33" fillId="9" borderId="1" xfId="0" applyFont="1" applyFill="1" applyBorder="1" applyAlignment="1" applyProtection="1">
      <alignment wrapText="1"/>
    </xf>
    <xf numFmtId="2" fontId="33" fillId="9" borderId="1" xfId="0" applyNumberFormat="1" applyFont="1" applyFill="1" applyBorder="1" applyAlignment="1" applyProtection="1">
      <alignment wrapText="1"/>
    </xf>
    <xf numFmtId="9" fontId="59" fillId="7" borderId="1" xfId="0" applyNumberFormat="1" applyFont="1" applyFill="1" applyBorder="1" applyAlignment="1" applyProtection="1">
      <alignment wrapText="1"/>
    </xf>
    <xf numFmtId="0" fontId="59" fillId="7" borderId="1" xfId="0" applyFont="1" applyFill="1" applyBorder="1" applyAlignment="1" applyProtection="1">
      <alignment wrapText="1"/>
    </xf>
    <xf numFmtId="0" fontId="59" fillId="7" borderId="1" xfId="0" applyFont="1" applyFill="1" applyBorder="1" applyAlignment="1">
      <alignment wrapText="1"/>
    </xf>
    <xf numFmtId="9" fontId="14" fillId="7" borderId="1" xfId="0" applyNumberFormat="1" applyFont="1" applyFill="1" applyBorder="1" applyAlignment="1" applyProtection="1">
      <alignment wrapText="1"/>
    </xf>
    <xf numFmtId="165" fontId="0" fillId="7" borderId="1" xfId="0" applyNumberFormat="1" applyFill="1" applyBorder="1" applyAlignment="1">
      <alignment wrapText="1"/>
    </xf>
    <xf numFmtId="1" fontId="34" fillId="8" borderId="1" xfId="0" applyNumberFormat="1" applyFont="1" applyFill="1" applyBorder="1" applyAlignment="1" applyProtection="1">
      <alignment wrapText="1"/>
    </xf>
    <xf numFmtId="0" fontId="30" fillId="8" borderId="5" xfId="0" applyFont="1" applyFill="1" applyBorder="1" applyAlignment="1" applyProtection="1">
      <alignment wrapText="1"/>
    </xf>
    <xf numFmtId="165" fontId="30" fillId="8" borderId="1" xfId="0" applyNumberFormat="1" applyFont="1" applyFill="1" applyBorder="1" applyProtection="1"/>
    <xf numFmtId="1" fontId="15" fillId="5" borderId="1" xfId="0" applyNumberFormat="1" applyFont="1" applyFill="1" applyBorder="1" applyAlignment="1" applyProtection="1">
      <alignment wrapText="1"/>
    </xf>
    <xf numFmtId="0" fontId="14" fillId="7" borderId="1" xfId="0" applyFont="1" applyFill="1" applyBorder="1" applyAlignment="1" applyProtection="1">
      <alignment wrapText="1"/>
    </xf>
    <xf numFmtId="0" fontId="14" fillId="7" borderId="1" xfId="0" applyFont="1" applyFill="1" applyBorder="1" applyAlignment="1">
      <alignment wrapText="1"/>
    </xf>
    <xf numFmtId="1" fontId="0" fillId="7" borderId="1" xfId="0" applyNumberFormat="1" applyFill="1" applyBorder="1" applyAlignment="1" applyProtection="1">
      <alignment wrapText="1"/>
    </xf>
    <xf numFmtId="0" fontId="15" fillId="6" borderId="1" xfId="0" applyFont="1" applyFill="1" applyBorder="1" applyProtection="1"/>
    <xf numFmtId="0" fontId="61" fillId="2" borderId="1" xfId="0" applyFont="1" applyFill="1" applyBorder="1" applyAlignment="1" applyProtection="1">
      <alignment wrapText="1"/>
    </xf>
    <xf numFmtId="165" fontId="36" fillId="2" borderId="1" xfId="0" applyNumberFormat="1" applyFont="1" applyFill="1" applyBorder="1" applyAlignment="1" applyProtection="1">
      <alignment wrapText="1"/>
    </xf>
    <xf numFmtId="165" fontId="18" fillId="2" borderId="5" xfId="0" applyNumberFormat="1" applyFont="1" applyFill="1" applyBorder="1" applyAlignment="1" applyProtection="1">
      <alignment wrapText="1"/>
    </xf>
    <xf numFmtId="1" fontId="29" fillId="2" borderId="1" xfId="0" applyNumberFormat="1" applyFont="1" applyFill="1" applyBorder="1" applyAlignment="1" applyProtection="1">
      <alignment wrapText="1"/>
    </xf>
    <xf numFmtId="165" fontId="18" fillId="2" borderId="1" xfId="0" applyNumberFormat="1" applyFont="1" applyFill="1" applyBorder="1" applyProtection="1"/>
    <xf numFmtId="0" fontId="40" fillId="2" borderId="1" xfId="0" applyFont="1" applyFill="1" applyBorder="1" applyAlignment="1" applyProtection="1">
      <alignment wrapText="1"/>
    </xf>
    <xf numFmtId="0" fontId="15" fillId="5" borderId="1" xfId="0" applyFont="1" applyFill="1" applyBorder="1" applyProtection="1"/>
    <xf numFmtId="2" fontId="29" fillId="6" borderId="1" xfId="0" applyNumberFormat="1" applyFont="1" applyFill="1" applyBorder="1" applyProtection="1"/>
    <xf numFmtId="0" fontId="48" fillId="0" borderId="0" xfId="0" applyFont="1" applyProtection="1"/>
    <xf numFmtId="167" fontId="15" fillId="5" borderId="1" xfId="0" applyNumberFormat="1" applyFont="1" applyFill="1" applyBorder="1" applyAlignment="1" applyProtection="1">
      <alignment wrapText="1"/>
    </xf>
    <xf numFmtId="165" fontId="15" fillId="2" borderId="1" xfId="0" applyNumberFormat="1" applyFont="1" applyFill="1" applyBorder="1" applyAlignment="1" applyProtection="1">
      <alignment wrapText="1"/>
    </xf>
    <xf numFmtId="167" fontId="15" fillId="5" borderId="1" xfId="0" applyNumberFormat="1" applyFont="1" applyFill="1" applyBorder="1" applyProtection="1"/>
    <xf numFmtId="2" fontId="15" fillId="2" borderId="1" xfId="0" applyNumberFormat="1" applyFont="1" applyFill="1" applyBorder="1" applyAlignment="1" applyProtection="1">
      <alignment wrapText="1"/>
    </xf>
    <xf numFmtId="165" fontId="36" fillId="2" borderId="1" xfId="0" applyNumberFormat="1" applyFont="1" applyFill="1" applyBorder="1" applyProtection="1"/>
    <xf numFmtId="0" fontId="34" fillId="2" borderId="1" xfId="0" applyFont="1" applyFill="1" applyBorder="1" applyProtection="1"/>
    <xf numFmtId="0" fontId="15" fillId="2" borderId="0" xfId="0" applyFont="1" applyFill="1" applyAlignment="1" applyProtection="1">
      <alignment wrapText="1"/>
    </xf>
    <xf numFmtId="0" fontId="29" fillId="2" borderId="1" xfId="0" applyFont="1" applyFill="1" applyBorder="1" applyProtection="1"/>
    <xf numFmtId="1" fontId="0" fillId="7" borderId="5" xfId="0" applyNumberFormat="1" applyFill="1" applyBorder="1" applyAlignment="1" applyProtection="1">
      <alignment wrapText="1"/>
    </xf>
    <xf numFmtId="0" fontId="30" fillId="0" borderId="2" xfId="0" applyFont="1" applyBorder="1" applyAlignment="1" applyProtection="1">
      <alignment wrapText="1"/>
    </xf>
    <xf numFmtId="165" fontId="34" fillId="2" borderId="2" xfId="0" applyNumberFormat="1" applyFont="1" applyFill="1" applyBorder="1" applyAlignment="1" applyProtection="1">
      <alignment wrapText="1"/>
    </xf>
    <xf numFmtId="165" fontId="36" fillId="2" borderId="2" xfId="0" applyNumberFormat="1" applyFont="1" applyFill="1" applyBorder="1" applyAlignment="1" applyProtection="1">
      <alignment wrapText="1"/>
    </xf>
    <xf numFmtId="165" fontId="18" fillId="2" borderId="16" xfId="0" applyNumberFormat="1" applyFont="1" applyFill="1" applyBorder="1" applyAlignment="1" applyProtection="1">
      <alignment wrapText="1"/>
    </xf>
    <xf numFmtId="0" fontId="29" fillId="2" borderId="2" xfId="0" applyFont="1" applyFill="1" applyBorder="1" applyProtection="1"/>
    <xf numFmtId="165" fontId="18" fillId="2" borderId="2" xfId="0" applyNumberFormat="1" applyFont="1" applyFill="1" applyBorder="1" applyProtection="1"/>
    <xf numFmtId="2" fontId="15" fillId="5" borderId="1" xfId="0" applyNumberFormat="1" applyFont="1" applyFill="1" applyBorder="1" applyProtection="1">
      <protection locked="0"/>
    </xf>
    <xf numFmtId="0" fontId="17" fillId="7" borderId="1" xfId="0" applyFont="1" applyFill="1" applyBorder="1" applyAlignment="1" applyProtection="1">
      <alignment wrapText="1"/>
    </xf>
    <xf numFmtId="2" fontId="17" fillId="7" borderId="1" xfId="0" applyNumberFormat="1" applyFont="1" applyFill="1" applyBorder="1" applyAlignment="1" applyProtection="1">
      <alignment wrapText="1"/>
    </xf>
    <xf numFmtId="1" fontId="17" fillId="7" borderId="5" xfId="0" applyNumberFormat="1" applyFont="1" applyFill="1" applyBorder="1" applyAlignment="1" applyProtection="1">
      <alignment wrapText="1"/>
    </xf>
    <xf numFmtId="0" fontId="47" fillId="0" borderId="1" xfId="0" applyFont="1" applyBorder="1" applyProtection="1"/>
    <xf numFmtId="0" fontId="13" fillId="2" borderId="1" xfId="0" applyFont="1" applyFill="1" applyBorder="1" applyProtection="1"/>
    <xf numFmtId="0" fontId="0" fillId="2" borderId="1" xfId="0" applyFill="1" applyBorder="1" applyProtection="1"/>
    <xf numFmtId="0" fontId="15" fillId="6" borderId="1" xfId="0" applyFont="1" applyFill="1" applyBorder="1" applyAlignment="1">
      <alignment wrapText="1"/>
    </xf>
    <xf numFmtId="0" fontId="63" fillId="0" borderId="0" xfId="0" applyFont="1" applyAlignment="1" applyProtection="1">
      <alignment wrapText="1"/>
    </xf>
    <xf numFmtId="165" fontId="0" fillId="7" borderId="1" xfId="0" applyNumberFormat="1" applyFill="1" applyBorder="1" applyAlignment="1" applyProtection="1">
      <alignment wrapText="1"/>
    </xf>
    <xf numFmtId="165" fontId="53" fillId="7" borderId="1" xfId="0" applyNumberFormat="1" applyFont="1" applyFill="1" applyBorder="1" applyAlignment="1" applyProtection="1">
      <alignment wrapText="1"/>
    </xf>
    <xf numFmtId="0" fontId="40" fillId="2" borderId="1" xfId="0" applyFont="1" applyFill="1" applyBorder="1" applyAlignment="1" applyProtection="1">
      <alignment horizontal="center" wrapText="1"/>
    </xf>
    <xf numFmtId="2" fontId="29" fillId="2" borderId="1" xfId="0" applyNumberFormat="1" applyFont="1" applyFill="1" applyBorder="1" applyAlignment="1" applyProtection="1">
      <alignment horizontal="center" wrapText="1"/>
    </xf>
    <xf numFmtId="0" fontId="0" fillId="6" borderId="0" xfId="0" applyFill="1" applyProtection="1"/>
    <xf numFmtId="0" fontId="31" fillId="6" borderId="0" xfId="0" applyFont="1" applyFill="1" applyBorder="1" applyProtection="1"/>
    <xf numFmtId="0" fontId="15" fillId="6" borderId="0" xfId="0" applyFont="1" applyFill="1" applyBorder="1" applyProtection="1"/>
    <xf numFmtId="0" fontId="15" fillId="6" borderId="0" xfId="0" applyFont="1" applyFill="1" applyBorder="1" applyAlignment="1" applyProtection="1"/>
    <xf numFmtId="0" fontId="14" fillId="6" borderId="0" xfId="0" applyFont="1" applyFill="1" applyBorder="1" applyAlignment="1" applyProtection="1"/>
    <xf numFmtId="0" fontId="0" fillId="6" borderId="0" xfId="0" applyFill="1" applyBorder="1" applyAlignment="1"/>
    <xf numFmtId="0" fontId="33" fillId="7" borderId="1" xfId="0" applyFont="1" applyFill="1" applyBorder="1" applyAlignment="1" applyProtection="1">
      <alignment wrapText="1"/>
    </xf>
    <xf numFmtId="0" fontId="33" fillId="7" borderId="2" xfId="0" applyFont="1" applyFill="1" applyBorder="1" applyAlignment="1" applyProtection="1">
      <alignment wrapText="1"/>
    </xf>
    <xf numFmtId="0" fontId="33" fillId="7" borderId="1" xfId="0" applyFont="1" applyFill="1" applyBorder="1" applyAlignment="1">
      <alignment wrapText="1"/>
    </xf>
    <xf numFmtId="2" fontId="33" fillId="7" borderId="1" xfId="0" applyNumberFormat="1" applyFont="1" applyFill="1" applyBorder="1" applyAlignment="1" applyProtection="1">
      <alignment wrapText="1"/>
    </xf>
    <xf numFmtId="0" fontId="33" fillId="7" borderId="1" xfId="0" applyFont="1" applyFill="1" applyBorder="1" applyProtection="1"/>
    <xf numFmtId="1" fontId="33" fillId="7" borderId="5" xfId="0" applyNumberFormat="1" applyFont="1" applyFill="1" applyBorder="1" applyAlignment="1" applyProtection="1">
      <alignment wrapText="1"/>
    </xf>
    <xf numFmtId="0" fontId="20" fillId="6" borderId="1" xfId="0" applyFont="1" applyFill="1" applyBorder="1" applyProtection="1"/>
    <xf numFmtId="2" fontId="15" fillId="2" borderId="1" xfId="0" applyNumberFormat="1" applyFont="1" applyFill="1" applyBorder="1" applyProtection="1"/>
    <xf numFmtId="0" fontId="18" fillId="2" borderId="1" xfId="0" applyFont="1" applyFill="1" applyBorder="1" applyProtection="1"/>
    <xf numFmtId="2" fontId="20" fillId="6" borderId="1" xfId="0" applyNumberFormat="1" applyFont="1" applyFill="1" applyBorder="1" applyProtection="1"/>
    <xf numFmtId="0" fontId="0" fillId="11" borderId="6" xfId="0" applyFill="1" applyBorder="1" applyProtection="1"/>
    <xf numFmtId="0" fontId="14" fillId="11" borderId="1" xfId="0" applyFont="1" applyFill="1" applyBorder="1" applyProtection="1"/>
    <xf numFmtId="165" fontId="0" fillId="2" borderId="1" xfId="0" applyNumberFormat="1" applyFill="1" applyBorder="1" applyAlignment="1" applyProtection="1">
      <alignment wrapText="1"/>
    </xf>
    <xf numFmtId="165" fontId="14" fillId="2" borderId="1" xfId="0" applyNumberFormat="1" applyFont="1" applyFill="1" applyBorder="1" applyProtection="1"/>
    <xf numFmtId="0" fontId="16" fillId="11" borderId="6" xfId="0" applyFont="1" applyFill="1" applyBorder="1" applyAlignment="1" applyProtection="1">
      <alignment wrapText="1"/>
    </xf>
    <xf numFmtId="1" fontId="16" fillId="11" borderId="1" xfId="0" applyNumberFormat="1" applyFont="1" applyFill="1" applyBorder="1" applyProtection="1"/>
    <xf numFmtId="165" fontId="16" fillId="11" borderId="1" xfId="0" applyNumberFormat="1" applyFont="1" applyFill="1" applyBorder="1" applyProtection="1"/>
    <xf numFmtId="165" fontId="15" fillId="2" borderId="1" xfId="0" applyNumberFormat="1" applyFont="1" applyFill="1" applyBorder="1" applyProtection="1"/>
    <xf numFmtId="0" fontId="14" fillId="11" borderId="6" xfId="0" applyFont="1" applyFill="1" applyBorder="1" applyAlignment="1" applyProtection="1">
      <alignment wrapText="1"/>
    </xf>
    <xf numFmtId="1" fontId="0" fillId="11" borderId="1" xfId="0" applyNumberFormat="1" applyFill="1" applyBorder="1" applyProtection="1"/>
    <xf numFmtId="1" fontId="29" fillId="2" borderId="1" xfId="0" applyNumberFormat="1" applyFont="1" applyFill="1" applyBorder="1" applyProtection="1"/>
    <xf numFmtId="165" fontId="18" fillId="2" borderId="1" xfId="0" applyNumberFormat="1" applyFont="1" applyFill="1" applyBorder="1" applyAlignment="1" applyProtection="1">
      <alignment wrapText="1"/>
    </xf>
    <xf numFmtId="165" fontId="0" fillId="11" borderId="1" xfId="0" applyNumberFormat="1" applyFill="1" applyBorder="1" applyProtection="1"/>
    <xf numFmtId="0" fontId="15" fillId="0" borderId="0" xfId="0" applyFont="1" applyProtection="1"/>
    <xf numFmtId="2" fontId="15" fillId="6" borderId="1" xfId="0" applyNumberFormat="1" applyFont="1" applyFill="1" applyBorder="1" applyProtection="1"/>
    <xf numFmtId="165" fontId="15" fillId="6" borderId="1" xfId="0" applyNumberFormat="1" applyFont="1" applyFill="1" applyBorder="1" applyProtection="1"/>
    <xf numFmtId="165" fontId="16" fillId="6" borderId="1" xfId="0" applyNumberFormat="1" applyFont="1" applyFill="1" applyBorder="1" applyProtection="1"/>
    <xf numFmtId="165" fontId="54" fillId="6" borderId="1" xfId="0" applyNumberFormat="1" applyFont="1" applyFill="1" applyBorder="1" applyProtection="1"/>
    <xf numFmtId="2" fontId="53" fillId="6" borderId="1" xfId="0" applyNumberFormat="1" applyFont="1" applyFill="1" applyBorder="1" applyAlignment="1" applyProtection="1"/>
    <xf numFmtId="165" fontId="0" fillId="6" borderId="1" xfId="0" applyNumberFormat="1" applyFill="1" applyBorder="1" applyProtection="1"/>
    <xf numFmtId="165" fontId="64" fillId="6" borderId="1" xfId="0" applyNumberFormat="1" applyFont="1" applyFill="1" applyBorder="1" applyProtection="1"/>
    <xf numFmtId="2" fontId="64" fillId="6" borderId="1" xfId="0" applyNumberFormat="1" applyFont="1" applyFill="1" applyBorder="1" applyProtection="1"/>
    <xf numFmtId="2" fontId="65" fillId="6" borderId="1" xfId="0" applyNumberFormat="1" applyFont="1" applyFill="1" applyBorder="1" applyProtection="1"/>
    <xf numFmtId="165" fontId="54" fillId="6" borderId="1" xfId="0" applyNumberFormat="1" applyFont="1" applyFill="1" applyBorder="1" applyAlignment="1"/>
    <xf numFmtId="0" fontId="0" fillId="6" borderId="1" xfId="0" applyFill="1" applyBorder="1" applyProtection="1"/>
    <xf numFmtId="165" fontId="66" fillId="6" borderId="1" xfId="0" applyNumberFormat="1" applyFont="1" applyFill="1" applyBorder="1" applyProtection="1"/>
    <xf numFmtId="165" fontId="29" fillId="6" borderId="1" xfId="0" applyNumberFormat="1" applyFont="1" applyFill="1" applyBorder="1" applyProtection="1"/>
    <xf numFmtId="0" fontId="17" fillId="2" borderId="0" xfId="0" applyFont="1" applyFill="1" applyAlignment="1" applyProtection="1">
      <alignment wrapText="1"/>
    </xf>
    <xf numFmtId="165" fontId="30" fillId="2" borderId="1" xfId="0" applyNumberFormat="1" applyFont="1" applyFill="1" applyBorder="1" applyAlignment="1" applyProtection="1">
      <alignment wrapText="1"/>
    </xf>
    <xf numFmtId="165" fontId="30" fillId="2" borderId="1" xfId="0" applyNumberFormat="1" applyFont="1" applyFill="1" applyBorder="1" applyProtection="1"/>
    <xf numFmtId="0" fontId="29" fillId="6" borderId="1" xfId="0" applyFont="1" applyFill="1" applyBorder="1" applyProtection="1"/>
    <xf numFmtId="1" fontId="34" fillId="2" borderId="1" xfId="0" applyNumberFormat="1" applyFont="1" applyFill="1" applyBorder="1" applyAlignment="1" applyProtection="1">
      <alignment wrapText="1"/>
    </xf>
    <xf numFmtId="0" fontId="30" fillId="2" borderId="5" xfId="0" applyFont="1" applyFill="1" applyBorder="1" applyAlignment="1" applyProtection="1">
      <alignment wrapText="1"/>
    </xf>
    <xf numFmtId="0" fontId="29" fillId="2" borderId="1" xfId="0" applyFont="1" applyFill="1" applyBorder="1" applyAlignment="1" applyProtection="1">
      <alignment wrapText="1"/>
    </xf>
    <xf numFmtId="0" fontId="16" fillId="11" borderId="1" xfId="0" applyFont="1" applyFill="1" applyBorder="1" applyAlignment="1" applyProtection="1">
      <alignment wrapText="1"/>
    </xf>
    <xf numFmtId="165" fontId="18" fillId="5" borderId="1" xfId="0" applyNumberFormat="1" applyFont="1" applyFill="1" applyBorder="1" applyProtection="1"/>
    <xf numFmtId="0" fontId="30" fillId="0" borderId="1" xfId="0" applyFont="1" applyFill="1" applyBorder="1" applyProtection="1"/>
    <xf numFmtId="165" fontId="62" fillId="6" borderId="1" xfId="0" applyNumberFormat="1" applyFont="1" applyFill="1" applyBorder="1" applyAlignment="1"/>
    <xf numFmtId="0" fontId="14" fillId="11" borderId="1" xfId="0" applyFont="1" applyFill="1" applyBorder="1" applyAlignment="1" applyProtection="1">
      <alignment wrapText="1"/>
    </xf>
    <xf numFmtId="0" fontId="40" fillId="5" borderId="1" xfId="0" applyFont="1" applyFill="1" applyBorder="1" applyAlignment="1" applyProtection="1">
      <alignment horizontal="left" wrapText="1" indent="1"/>
    </xf>
    <xf numFmtId="165" fontId="15" fillId="5" borderId="1" xfId="0" applyNumberFormat="1" applyFont="1" applyFill="1" applyBorder="1" applyAlignment="1" applyProtection="1"/>
    <xf numFmtId="165" fontId="34" fillId="5" borderId="1" xfId="0" applyNumberFormat="1" applyFont="1" applyFill="1" applyBorder="1" applyAlignment="1" applyProtection="1">
      <alignment wrapText="1"/>
    </xf>
    <xf numFmtId="165" fontId="36" fillId="5" borderId="1" xfId="0" applyNumberFormat="1" applyFont="1" applyFill="1" applyBorder="1" applyAlignment="1" applyProtection="1">
      <alignment wrapText="1"/>
    </xf>
    <xf numFmtId="0" fontId="40" fillId="5" borderId="1" xfId="0" applyFont="1" applyFill="1" applyBorder="1" applyAlignment="1" applyProtection="1">
      <alignment wrapText="1"/>
    </xf>
    <xf numFmtId="0" fontId="18" fillId="5" borderId="1" xfId="0" applyFont="1" applyFill="1" applyBorder="1" applyProtection="1"/>
    <xf numFmtId="165" fontId="60" fillId="6" borderId="1" xfId="0" applyNumberFormat="1" applyFont="1" applyFill="1" applyBorder="1" applyProtection="1"/>
    <xf numFmtId="0" fontId="16" fillId="0" borderId="0" xfId="0" applyFont="1" applyProtection="1"/>
    <xf numFmtId="165" fontId="15" fillId="5" borderId="1" xfId="0" applyNumberFormat="1" applyFont="1" applyFill="1" applyBorder="1" applyProtection="1"/>
    <xf numFmtId="0" fontId="67" fillId="5" borderId="1" xfId="0" applyFont="1" applyFill="1" applyBorder="1" applyAlignment="1" applyProtection="1">
      <alignment wrapText="1"/>
    </xf>
    <xf numFmtId="165" fontId="68" fillId="5" borderId="1" xfId="0" applyNumberFormat="1" applyFont="1" applyFill="1" applyBorder="1" applyProtection="1"/>
    <xf numFmtId="0" fontId="16" fillId="5" borderId="1" xfId="0" applyFont="1" applyFill="1" applyBorder="1" applyProtection="1"/>
    <xf numFmtId="165" fontId="17" fillId="5" borderId="1" xfId="0" applyNumberFormat="1" applyFont="1" applyFill="1" applyBorder="1" applyProtection="1"/>
    <xf numFmtId="2" fontId="18" fillId="5" borderId="1" xfId="0" applyNumberFormat="1" applyFont="1" applyFill="1" applyBorder="1" applyProtection="1"/>
    <xf numFmtId="0" fontId="29" fillId="5" borderId="1" xfId="0" applyFont="1" applyFill="1" applyBorder="1" applyProtection="1"/>
    <xf numFmtId="0" fontId="29" fillId="11" borderId="1" xfId="0" applyFont="1" applyFill="1" applyBorder="1" applyAlignment="1" applyProtection="1">
      <alignment wrapText="1"/>
    </xf>
    <xf numFmtId="165" fontId="29" fillId="11" borderId="1" xfId="0" applyNumberFormat="1" applyFont="1" applyFill="1" applyBorder="1" applyProtection="1"/>
    <xf numFmtId="0" fontId="67" fillId="5" borderId="1" xfId="0" applyFont="1" applyFill="1" applyBorder="1" applyAlignment="1" applyProtection="1">
      <alignment horizontal="center" wrapText="1"/>
    </xf>
    <xf numFmtId="2" fontId="69" fillId="5" borderId="1" xfId="0" applyNumberFormat="1" applyFont="1" applyFill="1" applyBorder="1" applyAlignment="1" applyProtection="1">
      <alignment horizontal="center" wrapText="1"/>
    </xf>
    <xf numFmtId="165" fontId="70" fillId="5" borderId="1" xfId="0" applyNumberFormat="1" applyFont="1" applyFill="1" applyBorder="1" applyAlignment="1" applyProtection="1">
      <alignment wrapText="1"/>
    </xf>
    <xf numFmtId="165" fontId="69" fillId="5" borderId="1" xfId="0" applyNumberFormat="1" applyFont="1" applyFill="1" applyBorder="1" applyAlignment="1" applyProtection="1">
      <alignment wrapText="1"/>
    </xf>
    <xf numFmtId="165" fontId="16" fillId="5" borderId="1" xfId="0" applyNumberFormat="1" applyFont="1" applyFill="1" applyBorder="1" applyProtection="1"/>
    <xf numFmtId="165" fontId="53" fillId="5" borderId="1" xfId="0" applyNumberFormat="1" applyFont="1" applyFill="1" applyBorder="1" applyAlignment="1" applyProtection="1">
      <alignment wrapText="1"/>
    </xf>
    <xf numFmtId="0" fontId="69" fillId="5" borderId="1" xfId="0" applyFont="1" applyFill="1" applyBorder="1" applyProtection="1"/>
    <xf numFmtId="0" fontId="70" fillId="5" borderId="1" xfId="0" applyFont="1" applyFill="1" applyBorder="1" applyProtection="1"/>
    <xf numFmtId="165" fontId="69" fillId="5" borderId="1" xfId="0" applyNumberFormat="1" applyFont="1" applyFill="1" applyBorder="1" applyProtection="1"/>
    <xf numFmtId="165" fontId="0" fillId="5" borderId="1" xfId="0" applyNumberFormat="1" applyFill="1" applyBorder="1" applyProtection="1"/>
    <xf numFmtId="165" fontId="14" fillId="5" borderId="1" xfId="0" applyNumberFormat="1" applyFont="1" applyFill="1" applyBorder="1" applyProtection="1"/>
    <xf numFmtId="2" fontId="17" fillId="5" borderId="1" xfId="0" applyNumberFormat="1" applyFont="1" applyFill="1" applyBorder="1" applyProtection="1"/>
    <xf numFmtId="1" fontId="16" fillId="5" borderId="1" xfId="0" applyNumberFormat="1" applyFont="1" applyFill="1" applyBorder="1" applyAlignment="1" applyProtection="1">
      <alignment wrapText="1"/>
    </xf>
    <xf numFmtId="1" fontId="70" fillId="5" borderId="1" xfId="0" applyNumberFormat="1" applyFont="1" applyFill="1" applyBorder="1" applyProtection="1"/>
    <xf numFmtId="0" fontId="68" fillId="5" borderId="1" xfId="0" applyFont="1" applyFill="1" applyBorder="1" applyProtection="1"/>
    <xf numFmtId="1" fontId="68" fillId="5" borderId="1" xfId="0" applyNumberFormat="1" applyFont="1" applyFill="1" applyBorder="1" applyProtection="1"/>
    <xf numFmtId="165" fontId="20" fillId="6" borderId="1" xfId="0" applyNumberFormat="1" applyFont="1" applyFill="1" applyBorder="1" applyProtection="1"/>
    <xf numFmtId="0" fontId="17" fillId="5" borderId="1" xfId="0" applyFont="1" applyFill="1" applyBorder="1" applyProtection="1"/>
    <xf numFmtId="165" fontId="70" fillId="5" borderId="1" xfId="0" applyNumberFormat="1" applyFont="1" applyFill="1" applyBorder="1" applyProtection="1"/>
    <xf numFmtId="0" fontId="16" fillId="6" borderId="1" xfId="0" applyFont="1" applyFill="1" applyBorder="1" applyAlignment="1" applyProtection="1">
      <alignment wrapText="1"/>
    </xf>
    <xf numFmtId="0" fontId="30" fillId="5" borderId="1" xfId="0" applyFont="1" applyFill="1" applyBorder="1" applyAlignment="1" applyProtection="1">
      <alignment wrapText="1"/>
    </xf>
    <xf numFmtId="165" fontId="30" fillId="5" borderId="1" xfId="0" applyNumberFormat="1" applyFont="1" applyFill="1" applyBorder="1" applyProtection="1"/>
    <xf numFmtId="1" fontId="16" fillId="5" borderId="1" xfId="0" applyNumberFormat="1" applyFont="1" applyFill="1" applyBorder="1" applyProtection="1"/>
    <xf numFmtId="165" fontId="29" fillId="5" borderId="1" xfId="0" applyNumberFormat="1" applyFont="1" applyFill="1" applyBorder="1" applyProtection="1"/>
    <xf numFmtId="1" fontId="11" fillId="0" borderId="1" xfId="0" applyNumberFormat="1" applyFont="1" applyBorder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1" fillId="0" borderId="18" xfId="0" applyFont="1" applyBorder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74" fillId="0" borderId="0" xfId="0" applyFont="1" applyAlignment="1">
      <alignment vertical="top" wrapText="1"/>
    </xf>
    <xf numFmtId="0" fontId="74" fillId="0" borderId="19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74" fillId="0" borderId="20" xfId="0" applyFont="1" applyBorder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74" fillId="0" borderId="17" xfId="0" applyFont="1" applyBorder="1" applyAlignment="1">
      <alignment horizontal="center" vertical="top" wrapText="1"/>
    </xf>
    <xf numFmtId="0" fontId="40" fillId="0" borderId="20" xfId="0" applyFont="1" applyBorder="1" applyAlignment="1">
      <alignment vertical="top" wrapText="1"/>
    </xf>
    <xf numFmtId="0" fontId="71" fillId="0" borderId="22" xfId="0" applyFont="1" applyBorder="1" applyAlignment="1">
      <alignment horizontal="center" wrapText="1"/>
    </xf>
    <xf numFmtId="0" fontId="75" fillId="0" borderId="23" xfId="0" applyFont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0" fillId="0" borderId="17" xfId="0" applyFont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9" xfId="0" applyFont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 wrapText="1"/>
    </xf>
    <xf numFmtId="49" fontId="71" fillId="0" borderId="19" xfId="0" applyNumberFormat="1" applyFont="1" applyBorder="1" applyAlignment="1">
      <alignment horizontal="center" vertical="top" wrapText="1"/>
    </xf>
    <xf numFmtId="49" fontId="71" fillId="0" borderId="0" xfId="0" applyNumberFormat="1" applyFont="1" applyBorder="1" applyAlignment="1">
      <alignment horizontal="center" vertical="top" wrapText="1"/>
    </xf>
    <xf numFmtId="0" fontId="40" fillId="0" borderId="0" xfId="0" applyFont="1"/>
    <xf numFmtId="0" fontId="77" fillId="0" borderId="0" xfId="0" applyFont="1"/>
    <xf numFmtId="0" fontId="0" fillId="0" borderId="19" xfId="0" applyBorder="1"/>
    <xf numFmtId="0" fontId="0" fillId="0" borderId="24" xfId="0" applyBorder="1" applyAlignment="1">
      <alignment wrapText="1"/>
    </xf>
    <xf numFmtId="0" fontId="79" fillId="0" borderId="19" xfId="0" applyFont="1" applyBorder="1" applyAlignment="1">
      <alignment horizontal="justify" vertical="top" wrapText="1"/>
    </xf>
    <xf numFmtId="0" fontId="0" fillId="0" borderId="21" xfId="0" applyBorder="1"/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vertical="center" wrapText="1"/>
    </xf>
    <xf numFmtId="0" fontId="21" fillId="0" borderId="4" xfId="0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wrapText="1"/>
    </xf>
    <xf numFmtId="0" fontId="47" fillId="0" borderId="0" xfId="0" applyFont="1" applyAlignment="1" applyProtection="1">
      <alignment wrapText="1"/>
    </xf>
    <xf numFmtId="0" fontId="16" fillId="8" borderId="1" xfId="0" applyFont="1" applyFill="1" applyBorder="1" applyAlignment="1" applyProtection="1">
      <alignment wrapText="1"/>
    </xf>
    <xf numFmtId="0" fontId="32" fillId="8" borderId="1" xfId="0" applyFont="1" applyFill="1" applyBorder="1" applyAlignment="1" applyProtection="1">
      <alignment wrapText="1"/>
    </xf>
    <xf numFmtId="0" fontId="0" fillId="8" borderId="0" xfId="0" applyFill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2" fontId="16" fillId="8" borderId="1" xfId="0" applyNumberFormat="1" applyFont="1" applyFill="1" applyBorder="1" applyAlignment="1" applyProtection="1">
      <alignment wrapText="1"/>
    </xf>
    <xf numFmtId="2" fontId="16" fillId="8" borderId="1" xfId="0" applyNumberFormat="1" applyFont="1" applyFill="1" applyBorder="1" applyAlignment="1">
      <alignment wrapText="1"/>
    </xf>
    <xf numFmtId="165" fontId="34" fillId="2" borderId="1" xfId="0" applyNumberFormat="1" applyFont="1" applyFill="1" applyBorder="1" applyAlignment="1" applyProtection="1">
      <alignment wrapText="1"/>
    </xf>
    <xf numFmtId="165" fontId="41" fillId="2" borderId="1" xfId="0" applyNumberFormat="1" applyFont="1" applyFill="1" applyBorder="1" applyAlignment="1" applyProtection="1">
      <alignment wrapText="1"/>
    </xf>
    <xf numFmtId="165" fontId="34" fillId="2" borderId="1" xfId="0" applyNumberFormat="1" applyFont="1" applyFill="1" applyBorder="1" applyProtection="1"/>
    <xf numFmtId="165" fontId="34" fillId="2" borderId="1" xfId="0" applyNumberFormat="1" applyFont="1" applyFill="1" applyBorder="1" applyAlignment="1" applyProtection="1">
      <alignment horizontal="center" wrapText="1"/>
    </xf>
    <xf numFmtId="2" fontId="34" fillId="2" borderId="2" xfId="0" applyNumberFormat="1" applyFont="1" applyFill="1" applyBorder="1" applyProtection="1"/>
    <xf numFmtId="165" fontId="29" fillId="2" borderId="1" xfId="0" applyNumberFormat="1" applyFont="1" applyFill="1" applyBorder="1" applyAlignment="1" applyProtection="1">
      <alignment wrapText="1"/>
    </xf>
    <xf numFmtId="2" fontId="55" fillId="2" borderId="1" xfId="0" applyNumberFormat="1" applyFont="1" applyFill="1" applyBorder="1" applyAlignment="1" applyProtection="1">
      <alignment wrapText="1"/>
    </xf>
    <xf numFmtId="0" fontId="57" fillId="8" borderId="1" xfId="0" applyFont="1" applyFill="1" applyBorder="1" applyAlignment="1" applyProtection="1">
      <alignment wrapText="1"/>
    </xf>
    <xf numFmtId="165" fontId="49" fillId="8" borderId="1" xfId="0" applyNumberFormat="1" applyFont="1" applyFill="1" applyBorder="1" applyAlignment="1" applyProtection="1">
      <alignment wrapText="1"/>
    </xf>
    <xf numFmtId="165" fontId="46" fillId="8" borderId="1" xfId="0" applyNumberFormat="1" applyFont="1" applyFill="1" applyBorder="1" applyAlignment="1" applyProtection="1">
      <alignment wrapText="1"/>
    </xf>
    <xf numFmtId="2" fontId="82" fillId="2" borderId="1" xfId="0" applyNumberFormat="1" applyFont="1" applyFill="1" applyBorder="1" applyAlignment="1" applyProtection="1">
      <alignment wrapText="1"/>
    </xf>
    <xf numFmtId="2" fontId="34" fillId="2" borderId="1" xfId="0" applyNumberFormat="1" applyFont="1" applyFill="1" applyBorder="1" applyAlignment="1" applyProtection="1">
      <alignment wrapText="1"/>
    </xf>
    <xf numFmtId="165" fontId="82" fillId="2" borderId="1" xfId="0" applyNumberFormat="1" applyFont="1" applyFill="1" applyBorder="1" applyAlignment="1" applyProtection="1">
      <alignment wrapText="1"/>
    </xf>
    <xf numFmtId="0" fontId="82" fillId="8" borderId="0" xfId="0" applyFont="1" applyFill="1" applyAlignment="1" applyProtection="1">
      <alignment wrapText="1"/>
    </xf>
    <xf numFmtId="165" fontId="82" fillId="8" borderId="1" xfId="0" applyNumberFormat="1" applyFont="1" applyFill="1" applyBorder="1" applyAlignment="1" applyProtection="1">
      <alignment wrapText="1"/>
    </xf>
    <xf numFmtId="165" fontId="83" fillId="8" borderId="1" xfId="0" applyNumberFormat="1" applyFont="1" applyFill="1" applyBorder="1" applyAlignment="1" applyProtection="1">
      <alignment wrapText="1"/>
    </xf>
    <xf numFmtId="165" fontId="83" fillId="8" borderId="5" xfId="0" applyNumberFormat="1" applyFont="1" applyFill="1" applyBorder="1" applyAlignment="1" applyProtection="1">
      <alignment wrapText="1"/>
    </xf>
    <xf numFmtId="1" fontId="82" fillId="8" borderId="1" xfId="0" applyNumberFormat="1" applyFont="1" applyFill="1" applyBorder="1" applyAlignment="1" applyProtection="1">
      <alignment wrapText="1"/>
    </xf>
    <xf numFmtId="165" fontId="83" fillId="8" borderId="1" xfId="0" applyNumberFormat="1" applyFont="1" applyFill="1" applyBorder="1" applyProtection="1"/>
    <xf numFmtId="1" fontId="46" fillId="2" borderId="1" xfId="0" applyNumberFormat="1" applyFont="1" applyFill="1" applyBorder="1" applyAlignment="1" applyProtection="1">
      <alignment wrapText="1"/>
    </xf>
    <xf numFmtId="0" fontId="40" fillId="8" borderId="1" xfId="0" applyFont="1" applyFill="1" applyBorder="1" applyAlignment="1" applyProtection="1">
      <alignment wrapText="1"/>
    </xf>
    <xf numFmtId="165" fontId="83" fillId="2" borderId="1" xfId="0" applyNumberFormat="1" applyFont="1" applyFill="1" applyBorder="1" applyAlignment="1" applyProtection="1">
      <alignment wrapText="1"/>
    </xf>
    <xf numFmtId="0" fontId="45" fillId="2" borderId="1" xfId="0" applyFont="1" applyFill="1" applyBorder="1" applyAlignment="1" applyProtection="1">
      <alignment wrapText="1"/>
    </xf>
    <xf numFmtId="165" fontId="34" fillId="2" borderId="2" xfId="0" applyNumberFormat="1" applyFont="1" applyFill="1" applyBorder="1" applyAlignment="1" applyProtection="1">
      <alignment wrapText="1"/>
    </xf>
    <xf numFmtId="0" fontId="85" fillId="2" borderId="1" xfId="0" applyFont="1" applyFill="1" applyBorder="1" applyAlignment="1" applyProtection="1">
      <alignment wrapText="1"/>
    </xf>
    <xf numFmtId="2" fontId="34" fillId="2" borderId="1" xfId="0" applyNumberFormat="1" applyFont="1" applyFill="1" applyBorder="1" applyAlignment="1" applyProtection="1">
      <alignment horizontal="center" wrapText="1"/>
    </xf>
    <xf numFmtId="0" fontId="82" fillId="6" borderId="1" xfId="0" applyFont="1" applyFill="1" applyBorder="1" applyAlignment="1" applyProtection="1">
      <alignment wrapText="1"/>
    </xf>
    <xf numFmtId="0" fontId="13" fillId="4" borderId="0" xfId="0" applyFont="1" applyFill="1" applyBorder="1" applyAlignment="1" applyProtection="1">
      <alignment wrapText="1"/>
    </xf>
    <xf numFmtId="2" fontId="34" fillId="2" borderId="1" xfId="0" applyNumberFormat="1" applyFont="1" applyFill="1" applyBorder="1" applyProtection="1"/>
    <xf numFmtId="165" fontId="86" fillId="6" borderId="1" xfId="0" applyNumberFormat="1" applyFont="1" applyFill="1" applyBorder="1" applyProtection="1"/>
    <xf numFmtId="2" fontId="86" fillId="6" borderId="1" xfId="0" applyNumberFormat="1" applyFont="1" applyFill="1" applyBorder="1" applyAlignment="1" applyProtection="1"/>
    <xf numFmtId="165" fontId="87" fillId="6" borderId="1" xfId="0" applyNumberFormat="1" applyFont="1" applyFill="1" applyBorder="1" applyAlignment="1"/>
    <xf numFmtId="165" fontId="86" fillId="6" borderId="1" xfId="0" applyNumberFormat="1" applyFont="1" applyFill="1" applyBorder="1" applyAlignment="1"/>
    <xf numFmtId="165" fontId="88" fillId="6" borderId="1" xfId="0" applyNumberFormat="1" applyFont="1" applyFill="1" applyBorder="1" applyProtection="1"/>
    <xf numFmtId="165" fontId="89" fillId="6" borderId="1" xfId="0" applyNumberFormat="1" applyFont="1" applyFill="1" applyBorder="1" applyProtection="1"/>
    <xf numFmtId="165" fontId="0" fillId="4" borderId="0" xfId="0" applyNumberFormat="1" applyFill="1" applyBorder="1" applyProtection="1"/>
    <xf numFmtId="0" fontId="16" fillId="2" borderId="1" xfId="0" applyFont="1" applyFill="1" applyBorder="1" applyAlignment="1" applyProtection="1">
      <alignment wrapText="1"/>
    </xf>
    <xf numFmtId="165" fontId="90" fillId="6" borderId="1" xfId="0" applyNumberFormat="1" applyFont="1" applyFill="1" applyBorder="1" applyProtection="1"/>
    <xf numFmtId="165" fontId="51" fillId="2" borderId="1" xfId="0" applyNumberFormat="1" applyFont="1" applyFill="1" applyBorder="1" applyAlignment="1" applyProtection="1">
      <alignment wrapText="1"/>
    </xf>
    <xf numFmtId="1" fontId="51" fillId="2" borderId="1" xfId="0" applyNumberFormat="1" applyFont="1" applyFill="1" applyBorder="1" applyAlignment="1" applyProtection="1">
      <alignment wrapText="1"/>
    </xf>
    <xf numFmtId="165" fontId="52" fillId="2" borderId="1" xfId="0" applyNumberFormat="1" applyFont="1" applyFill="1" applyBorder="1" applyAlignment="1" applyProtection="1">
      <alignment wrapText="1"/>
    </xf>
    <xf numFmtId="165" fontId="18" fillId="2" borderId="1" xfId="0" applyNumberFormat="1" applyFont="1" applyFill="1" applyBorder="1" applyAlignment="1" applyProtection="1">
      <alignment wrapText="1"/>
    </xf>
    <xf numFmtId="0" fontId="30" fillId="2" borderId="1" xfId="0" applyFont="1" applyFill="1" applyBorder="1" applyAlignment="1" applyProtection="1">
      <alignment wrapText="1"/>
    </xf>
    <xf numFmtId="165" fontId="18" fillId="2" borderId="1" xfId="0" applyNumberFormat="1" applyFont="1" applyFill="1" applyBorder="1" applyProtection="1"/>
    <xf numFmtId="0" fontId="40" fillId="2" borderId="1" xfId="0" applyFont="1" applyFill="1" applyBorder="1" applyAlignment="1" applyProtection="1">
      <alignment wrapText="1"/>
    </xf>
    <xf numFmtId="165" fontId="82" fillId="2" borderId="1" xfId="0" applyNumberFormat="1" applyFont="1" applyFill="1" applyBorder="1" applyProtection="1"/>
    <xf numFmtId="0" fontId="57" fillId="2" borderId="1" xfId="0" applyFont="1" applyFill="1" applyBorder="1" applyAlignment="1" applyProtection="1">
      <alignment wrapText="1"/>
    </xf>
    <xf numFmtId="165" fontId="49" fillId="2" borderId="1" xfId="0" applyNumberFormat="1" applyFont="1" applyFill="1" applyBorder="1" applyAlignment="1" applyProtection="1">
      <alignment wrapText="1"/>
    </xf>
    <xf numFmtId="165" fontId="46" fillId="2" borderId="1" xfId="0" applyNumberFormat="1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165" fontId="15" fillId="5" borderId="1" xfId="0" applyNumberFormat="1" applyFont="1" applyFill="1" applyBorder="1" applyAlignment="1" applyProtection="1">
      <alignment wrapText="1"/>
    </xf>
    <xf numFmtId="2" fontId="82" fillId="2" borderId="1" xfId="0" applyNumberFormat="1" applyFont="1" applyFill="1" applyBorder="1" applyProtection="1"/>
    <xf numFmtId="2" fontId="86" fillId="6" borderId="1" xfId="0" applyNumberFormat="1" applyFont="1" applyFill="1" applyBorder="1" applyProtection="1"/>
    <xf numFmtId="2" fontId="84" fillId="6" borderId="1" xfId="0" applyNumberFormat="1" applyFont="1" applyFill="1" applyBorder="1" applyProtection="1"/>
    <xf numFmtId="165" fontId="91" fillId="6" borderId="1" xfId="0" applyNumberFormat="1" applyFont="1" applyFill="1" applyBorder="1" applyProtection="1"/>
    <xf numFmtId="2" fontId="85" fillId="6" borderId="1" xfId="0" applyNumberFormat="1" applyFont="1" applyFill="1" applyBorder="1" applyProtection="1"/>
    <xf numFmtId="2" fontId="82" fillId="6" borderId="1" xfId="0" applyNumberFormat="1" applyFont="1" applyFill="1" applyBorder="1" applyProtection="1"/>
    <xf numFmtId="165" fontId="92" fillId="6" borderId="1" xfId="0" applyNumberFormat="1" applyFont="1" applyFill="1" applyBorder="1" applyAlignment="1"/>
    <xf numFmtId="165" fontId="20" fillId="12" borderId="1" xfId="0" applyNumberFormat="1" applyFont="1" applyFill="1" applyBorder="1" applyProtection="1"/>
    <xf numFmtId="165" fontId="93" fillId="6" borderId="1" xfId="0" applyNumberFormat="1" applyFont="1" applyFill="1" applyBorder="1" applyProtection="1"/>
    <xf numFmtId="2" fontId="93" fillId="6" borderId="1" xfId="0" applyNumberFormat="1" applyFont="1" applyFill="1" applyBorder="1" applyProtection="1"/>
    <xf numFmtId="2" fontId="88" fillId="6" borderId="1" xfId="0" applyNumberFormat="1" applyFont="1" applyFill="1" applyBorder="1" applyProtection="1"/>
    <xf numFmtId="165" fontId="29" fillId="4" borderId="0" xfId="0" applyNumberFormat="1" applyFont="1" applyFill="1" applyBorder="1" applyProtection="1"/>
    <xf numFmtId="1" fontId="60" fillId="6" borderId="1" xfId="0" applyNumberFormat="1" applyFont="1" applyFill="1" applyBorder="1" applyProtection="1"/>
    <xf numFmtId="2" fontId="94" fillId="6" borderId="1" xfId="0" applyNumberFormat="1" applyFont="1" applyFill="1" applyBorder="1" applyProtection="1"/>
    <xf numFmtId="165" fontId="30" fillId="2" borderId="1" xfId="0" applyNumberFormat="1" applyFont="1" applyFill="1" applyBorder="1" applyAlignment="1" applyProtection="1">
      <alignment wrapText="1"/>
    </xf>
    <xf numFmtId="0" fontId="86" fillId="6" borderId="1" xfId="0" applyFont="1" applyFill="1" applyBorder="1" applyAlignment="1" applyProtection="1">
      <alignment wrapText="1"/>
    </xf>
    <xf numFmtId="0" fontId="95" fillId="6" borderId="1" xfId="0" applyFont="1" applyFill="1" applyBorder="1" applyAlignment="1" applyProtection="1">
      <alignment wrapText="1"/>
    </xf>
    <xf numFmtId="0" fontId="85" fillId="6" borderId="1" xfId="0" applyFont="1" applyFill="1" applyBorder="1" applyAlignment="1">
      <alignment wrapText="1"/>
    </xf>
    <xf numFmtId="0" fontId="87" fillId="6" borderId="1" xfId="0" applyFont="1" applyFill="1" applyBorder="1" applyAlignment="1">
      <alignment wrapText="1"/>
    </xf>
    <xf numFmtId="0" fontId="96" fillId="6" borderId="1" xfId="0" applyFont="1" applyFill="1" applyBorder="1" applyAlignment="1" applyProtection="1">
      <alignment wrapText="1"/>
    </xf>
    <xf numFmtId="0" fontId="87" fillId="6" borderId="1" xfId="0" applyFont="1" applyFill="1" applyBorder="1" applyAlignment="1" applyProtection="1">
      <alignment wrapText="1"/>
    </xf>
    <xf numFmtId="0" fontId="97" fillId="6" borderId="1" xfId="0" applyFont="1" applyFill="1" applyBorder="1" applyAlignment="1" applyProtection="1">
      <alignment wrapText="1"/>
    </xf>
    <xf numFmtId="165" fontId="16" fillId="11" borderId="1" xfId="0" applyNumberFormat="1" applyFont="1" applyFill="1" applyBorder="1" applyProtection="1"/>
    <xf numFmtId="0" fontId="61" fillId="5" borderId="1" xfId="0" applyFont="1" applyFill="1" applyBorder="1" applyAlignment="1" applyProtection="1">
      <alignment wrapText="1"/>
    </xf>
    <xf numFmtId="165" fontId="29" fillId="5" borderId="1" xfId="0" applyNumberFormat="1" applyFont="1" applyFill="1" applyBorder="1" applyAlignment="1" applyProtection="1">
      <alignment wrapText="1"/>
    </xf>
    <xf numFmtId="165" fontId="18" fillId="5" borderId="5" xfId="0" applyNumberFormat="1" applyFont="1" applyFill="1" applyBorder="1" applyAlignment="1" applyProtection="1">
      <alignment wrapText="1"/>
    </xf>
    <xf numFmtId="1" fontId="29" fillId="5" borderId="1" xfId="0" applyNumberFormat="1" applyFont="1" applyFill="1" applyBorder="1" applyAlignment="1" applyProtection="1">
      <alignment wrapText="1"/>
    </xf>
    <xf numFmtId="165" fontId="18" fillId="5" borderId="1" xfId="0" applyNumberFormat="1" applyFont="1" applyFill="1" applyBorder="1" applyProtection="1"/>
    <xf numFmtId="0" fontId="90" fillId="6" borderId="1" xfId="0" applyFont="1" applyFill="1" applyBorder="1" applyProtection="1"/>
    <xf numFmtId="2" fontId="84" fillId="6" borderId="1" xfId="0" applyNumberFormat="1" applyFont="1" applyFill="1" applyBorder="1" applyAlignment="1"/>
    <xf numFmtId="1" fontId="84" fillId="6" borderId="1" xfId="0" applyNumberFormat="1" applyFont="1" applyFill="1" applyBorder="1" applyAlignment="1"/>
    <xf numFmtId="165" fontId="84" fillId="6" borderId="1" xfId="0" applyNumberFormat="1" applyFont="1" applyFill="1" applyBorder="1" applyAlignment="1"/>
    <xf numFmtId="165" fontId="41" fillId="2" borderId="1" xfId="0" applyNumberFormat="1" applyFont="1" applyFill="1" applyBorder="1" applyProtection="1"/>
    <xf numFmtId="165" fontId="82" fillId="6" borderId="1" xfId="0" applyNumberFormat="1" applyFont="1" applyFill="1" applyBorder="1" applyProtection="1"/>
    <xf numFmtId="2" fontId="85" fillId="6" borderId="1" xfId="0" applyNumberFormat="1" applyFont="1" applyFill="1" applyBorder="1" applyAlignment="1"/>
    <xf numFmtId="165" fontId="82" fillId="6" borderId="1" xfId="0" applyNumberFormat="1" applyFont="1" applyFill="1" applyBorder="1" applyAlignment="1"/>
    <xf numFmtId="165" fontId="83" fillId="6" borderId="1" xfId="0" applyNumberFormat="1" applyFont="1" applyFill="1" applyBorder="1" applyProtection="1"/>
    <xf numFmtId="0" fontId="16" fillId="5" borderId="1" xfId="0" applyFont="1" applyFill="1" applyBorder="1" applyAlignment="1" applyProtection="1">
      <alignment wrapText="1"/>
    </xf>
    <xf numFmtId="1" fontId="16" fillId="5" borderId="1" xfId="0" applyNumberFormat="1" applyFont="1" applyFill="1" applyBorder="1" applyProtection="1"/>
    <xf numFmtId="1" fontId="0" fillId="5" borderId="1" xfId="0" applyNumberFormat="1" applyFill="1" applyBorder="1" applyProtection="1"/>
    <xf numFmtId="165" fontId="83" fillId="6" borderId="1" xfId="0" applyNumberFormat="1" applyFont="1" applyFill="1" applyBorder="1" applyAlignment="1"/>
    <xf numFmtId="0" fontId="15" fillId="5" borderId="1" xfId="0" applyFont="1" applyFill="1" applyBorder="1" applyProtection="1"/>
    <xf numFmtId="165" fontId="89" fillId="5" borderId="1" xfId="0" applyNumberFormat="1" applyFont="1" applyFill="1" applyBorder="1" applyProtection="1"/>
    <xf numFmtId="2" fontId="70" fillId="2" borderId="1" xfId="0" applyNumberFormat="1" applyFont="1" applyFill="1" applyBorder="1" applyAlignment="1" applyProtection="1">
      <alignment horizontal="center" wrapText="1"/>
    </xf>
    <xf numFmtId="2" fontId="53" fillId="2" borderId="1" xfId="0" applyNumberFormat="1" applyFont="1" applyFill="1" applyBorder="1" applyProtection="1"/>
    <xf numFmtId="2" fontId="0" fillId="2" borderId="1" xfId="0" applyNumberFormat="1" applyFill="1" applyBorder="1" applyProtection="1"/>
    <xf numFmtId="165" fontId="53" fillId="2" borderId="1" xfId="0" applyNumberFormat="1" applyFont="1" applyFill="1" applyBorder="1" applyAlignment="1" applyProtection="1">
      <alignment wrapText="1"/>
    </xf>
    <xf numFmtId="165" fontId="93" fillId="6" borderId="1" xfId="0" applyNumberFormat="1" applyFont="1" applyFill="1" applyBorder="1" applyAlignment="1"/>
    <xf numFmtId="165" fontId="34" fillId="2" borderId="1" xfId="1" applyNumberFormat="1" applyFont="1" applyFill="1" applyBorder="1" applyProtection="1"/>
    <xf numFmtId="165" fontId="84" fillId="6" borderId="1" xfId="0" applyNumberFormat="1" applyFont="1" applyFill="1" applyBorder="1" applyProtection="1"/>
    <xf numFmtId="165" fontId="81" fillId="0" borderId="0" xfId="0" applyNumberFormat="1" applyFont="1" applyProtection="1"/>
    <xf numFmtId="2" fontId="68" fillId="2" borderId="1" xfId="0" applyNumberFormat="1" applyFont="1" applyFill="1" applyBorder="1" applyProtection="1"/>
    <xf numFmtId="165" fontId="53" fillId="2" borderId="1" xfId="0" applyNumberFormat="1" applyFont="1" applyFill="1" applyBorder="1" applyProtection="1"/>
    <xf numFmtId="2" fontId="70" fillId="2" borderId="1" xfId="0" applyNumberFormat="1" applyFont="1" applyFill="1" applyBorder="1" applyProtection="1"/>
    <xf numFmtId="0" fontId="34" fillId="2" borderId="1" xfId="0" applyFont="1" applyFill="1" applyBorder="1" applyProtection="1"/>
    <xf numFmtId="0" fontId="98" fillId="6" borderId="5" xfId="0" applyFont="1" applyFill="1" applyBorder="1" applyAlignment="1" applyProtection="1">
      <alignment wrapText="1"/>
    </xf>
    <xf numFmtId="0" fontId="68" fillId="2" borderId="1" xfId="0" applyFont="1" applyFill="1" applyBorder="1" applyProtection="1"/>
    <xf numFmtId="0" fontId="99" fillId="6" borderId="1" xfId="0" applyFont="1" applyFill="1" applyBorder="1" applyProtection="1"/>
    <xf numFmtId="2" fontId="99" fillId="6" borderId="1" xfId="0" applyNumberFormat="1" applyFont="1" applyFill="1" applyBorder="1" applyAlignment="1"/>
    <xf numFmtId="1" fontId="99" fillId="6" borderId="1" xfId="0" applyNumberFormat="1" applyFont="1" applyFill="1" applyBorder="1" applyAlignment="1"/>
    <xf numFmtId="165" fontId="100" fillId="6" borderId="1" xfId="0" applyNumberFormat="1" applyFont="1" applyFill="1" applyBorder="1" applyAlignment="1"/>
    <xf numFmtId="165" fontId="101" fillId="6" borderId="1" xfId="0" applyNumberFormat="1" applyFont="1" applyFill="1" applyBorder="1" applyProtection="1"/>
    <xf numFmtId="2" fontId="92" fillId="6" borderId="1" xfId="0" applyNumberFormat="1" applyFont="1" applyFill="1" applyBorder="1" applyAlignment="1"/>
    <xf numFmtId="2" fontId="101" fillId="6" borderId="1" xfId="0" applyNumberFormat="1" applyFont="1" applyFill="1" applyBorder="1" applyAlignment="1"/>
    <xf numFmtId="0" fontId="0" fillId="4" borderId="0" xfId="0" applyFill="1" applyBorder="1" applyProtection="1"/>
    <xf numFmtId="167" fontId="70" fillId="2" borderId="1" xfId="0" applyNumberFormat="1" applyFont="1" applyFill="1" applyBorder="1" applyProtection="1"/>
    <xf numFmtId="0" fontId="16" fillId="4" borderId="0" xfId="0" applyFont="1" applyFill="1" applyBorder="1" applyAlignment="1" applyProtection="1">
      <alignment wrapText="1"/>
    </xf>
    <xf numFmtId="165" fontId="70" fillId="2" borderId="1" xfId="0" applyNumberFormat="1" applyFont="1" applyFill="1" applyBorder="1" applyProtection="1"/>
    <xf numFmtId="165" fontId="30" fillId="2" borderId="1" xfId="0" applyNumberFormat="1" applyFont="1" applyFill="1" applyBorder="1" applyProtection="1"/>
    <xf numFmtId="165" fontId="101" fillId="6" borderId="1" xfId="0" applyNumberFormat="1" applyFont="1" applyFill="1" applyBorder="1" applyAlignment="1"/>
    <xf numFmtId="1" fontId="29" fillId="2" borderId="1" xfId="0" applyNumberFormat="1" applyFont="1" applyFill="1" applyBorder="1" applyProtection="1"/>
    <xf numFmtId="1" fontId="16" fillId="2" borderId="1" xfId="0" applyNumberFormat="1" applyFont="1" applyFill="1" applyBorder="1" applyProtection="1"/>
    <xf numFmtId="165" fontId="15" fillId="2" borderId="1" xfId="0" applyNumberFormat="1" applyFont="1" applyFill="1" applyBorder="1" applyProtection="1"/>
    <xf numFmtId="2" fontId="101" fillId="6" borderId="1" xfId="0" applyNumberFormat="1" applyFont="1" applyFill="1" applyBorder="1" applyProtection="1"/>
    <xf numFmtId="165" fontId="100" fillId="6" borderId="1" xfId="0" applyNumberFormat="1" applyFont="1" applyFill="1" applyBorder="1" applyProtection="1"/>
    <xf numFmtId="165" fontId="29" fillId="2" borderId="1" xfId="0" applyNumberFormat="1" applyFont="1" applyFill="1" applyBorder="1" applyProtection="1"/>
    <xf numFmtId="2" fontId="102" fillId="6" borderId="1" xfId="0" applyNumberFormat="1" applyFont="1" applyFill="1" applyBorder="1" applyProtection="1"/>
    <xf numFmtId="165" fontId="103" fillId="6" borderId="1" xfId="0" applyNumberFormat="1" applyFont="1" applyFill="1" applyBorder="1" applyProtection="1"/>
    <xf numFmtId="2" fontId="100" fillId="6" borderId="1" xfId="0" applyNumberFormat="1" applyFont="1" applyFill="1" applyBorder="1" applyProtection="1"/>
    <xf numFmtId="0" fontId="104" fillId="0" borderId="6" xfId="0" applyFont="1" applyBorder="1" applyAlignment="1">
      <alignment horizontal="right" wrapText="1"/>
    </xf>
    <xf numFmtId="0" fontId="81" fillId="0" borderId="1" xfId="0" applyFont="1" applyFill="1" applyBorder="1" applyAlignment="1" applyProtection="1">
      <alignment horizontal="center" vertical="justify" wrapText="1"/>
    </xf>
    <xf numFmtId="0" fontId="0" fillId="0" borderId="1" xfId="0" applyBorder="1" applyProtection="1"/>
    <xf numFmtId="0" fontId="75" fillId="0" borderId="0" xfId="0" applyFont="1" applyAlignment="1">
      <alignment wrapText="1"/>
    </xf>
    <xf numFmtId="0" fontId="75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109" fillId="0" borderId="1" xfId="0" applyFont="1" applyBorder="1" applyProtection="1"/>
    <xf numFmtId="0" fontId="109" fillId="0" borderId="1" xfId="0" applyFont="1" applyBorder="1" applyAlignment="1" applyProtection="1">
      <alignment wrapText="1"/>
    </xf>
    <xf numFmtId="165" fontId="109" fillId="0" borderId="1" xfId="0" applyNumberFormat="1" applyFont="1" applyBorder="1" applyProtection="1"/>
    <xf numFmtId="1" fontId="109" fillId="0" borderId="1" xfId="0" applyNumberFormat="1" applyFont="1" applyBorder="1" applyProtection="1"/>
    <xf numFmtId="1" fontId="73" fillId="13" borderId="1" xfId="0" applyNumberFormat="1" applyFont="1" applyFill="1" applyBorder="1" applyAlignment="1">
      <alignment horizontal="center" wrapText="1"/>
    </xf>
    <xf numFmtId="1" fontId="8" fillId="13" borderId="1" xfId="0" applyNumberFormat="1" applyFont="1" applyFill="1" applyBorder="1" applyAlignment="1">
      <alignment horizontal="center" wrapText="1"/>
    </xf>
    <xf numFmtId="1" fontId="114" fillId="0" borderId="1" xfId="0" applyNumberFormat="1" applyFont="1" applyBorder="1" applyAlignment="1">
      <alignment horizontal="center" wrapText="1"/>
    </xf>
    <xf numFmtId="0" fontId="0" fillId="13" borderId="1" xfId="0" applyFill="1" applyBorder="1" applyProtection="1"/>
    <xf numFmtId="0" fontId="0" fillId="13" borderId="1" xfId="0" applyFill="1" applyBorder="1" applyAlignment="1" applyProtection="1">
      <alignment wrapText="1"/>
    </xf>
    <xf numFmtId="1" fontId="107" fillId="0" borderId="1" xfId="0" applyNumberFormat="1" applyFont="1" applyBorder="1" applyProtection="1"/>
    <xf numFmtId="1" fontId="107" fillId="13" borderId="1" xfId="0" applyNumberFormat="1" applyFont="1" applyFill="1" applyBorder="1" applyProtection="1"/>
    <xf numFmtId="1" fontId="116" fillId="13" borderId="1" xfId="0" applyNumberFormat="1" applyFont="1" applyFill="1" applyBorder="1" applyAlignment="1" applyProtection="1">
      <alignment horizontal="center"/>
    </xf>
    <xf numFmtId="1" fontId="113" fillId="0" borderId="1" xfId="0" applyNumberFormat="1" applyFont="1" applyBorder="1" applyAlignment="1" applyProtection="1"/>
    <xf numFmtId="1" fontId="117" fillId="13" borderId="1" xfId="0" applyNumberFormat="1" applyFont="1" applyFill="1" applyBorder="1" applyAlignment="1" applyProtection="1"/>
    <xf numFmtId="1" fontId="115" fillId="0" borderId="1" xfId="0" applyNumberFormat="1" applyFont="1" applyBorder="1" applyAlignment="1">
      <alignment horizontal="center" wrapText="1"/>
    </xf>
    <xf numFmtId="1" fontId="117" fillId="13" borderId="1" xfId="0" applyNumberFormat="1" applyFont="1" applyFill="1" applyBorder="1" applyProtection="1"/>
    <xf numFmtId="1" fontId="8" fillId="13" borderId="1" xfId="0" applyNumberFormat="1" applyFont="1" applyFill="1" applyBorder="1" applyAlignment="1">
      <alignment wrapText="1"/>
    </xf>
    <xf numFmtId="1" fontId="8" fillId="13" borderId="1" xfId="0" applyNumberFormat="1" applyFont="1" applyFill="1" applyBorder="1" applyAlignment="1">
      <alignment horizontal="right" wrapText="1"/>
    </xf>
    <xf numFmtId="1" fontId="9" fillId="0" borderId="1" xfId="0" applyNumberFormat="1" applyFont="1" applyBorder="1" applyAlignment="1">
      <alignment horizontal="center" wrapText="1"/>
    </xf>
    <xf numFmtId="1" fontId="9" fillId="13" borderId="1" xfId="0" applyNumberFormat="1" applyFont="1" applyFill="1" applyBorder="1" applyAlignment="1">
      <alignment horizontal="center" wrapText="1"/>
    </xf>
    <xf numFmtId="1" fontId="115" fillId="0" borderId="1" xfId="0" applyNumberFormat="1" applyFont="1" applyBorder="1" applyAlignment="1">
      <alignment wrapText="1"/>
    </xf>
    <xf numFmtId="1" fontId="115" fillId="0" borderId="1" xfId="0" applyNumberFormat="1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wrapText="1"/>
    </xf>
    <xf numFmtId="0" fontId="10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left" wrapText="1"/>
    </xf>
    <xf numFmtId="0" fontId="11" fillId="13" borderId="1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18" fillId="0" borderId="0" xfId="0" applyFont="1" applyProtection="1"/>
    <xf numFmtId="0" fontId="0" fillId="0" borderId="1" xfId="0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wrapText="1"/>
    </xf>
    <xf numFmtId="0" fontId="75" fillId="0" borderId="18" xfId="0" applyFont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0" fontId="40" fillId="0" borderId="26" xfId="0" applyFont="1" applyBorder="1" applyAlignment="1">
      <alignment vertical="top" wrapText="1"/>
    </xf>
    <xf numFmtId="2" fontId="40" fillId="0" borderId="46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9" fillId="0" borderId="1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0" fontId="79" fillId="0" borderId="19" xfId="0" applyFont="1" applyBorder="1" applyAlignment="1">
      <alignment horizontal="justify" vertical="top" wrapText="1"/>
    </xf>
    <xf numFmtId="0" fontId="0" fillId="0" borderId="19" xfId="0" applyBorder="1" applyAlignment="1"/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2" fillId="0" borderId="22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71" fillId="0" borderId="23" xfId="0" applyFont="1" applyBorder="1" applyAlignment="1">
      <alignment vertical="top" wrapText="1"/>
    </xf>
    <xf numFmtId="0" fontId="71" fillId="0" borderId="29" xfId="0" applyFont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74" fillId="0" borderId="30" xfId="0" applyFont="1" applyBorder="1" applyAlignment="1">
      <alignment vertical="top" wrapText="1"/>
    </xf>
    <xf numFmtId="0" fontId="40" fillId="0" borderId="18" xfId="0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4" fontId="74" fillId="0" borderId="24" xfId="0" applyNumberFormat="1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1" fillId="0" borderId="32" xfId="0" applyFont="1" applyBorder="1" applyAlignment="1">
      <alignment vertical="top" wrapText="1"/>
    </xf>
    <xf numFmtId="0" fontId="71" fillId="0" borderId="22" xfId="0" applyFont="1" applyBorder="1" applyAlignment="1">
      <alignment vertical="top" wrapText="1"/>
    </xf>
    <xf numFmtId="0" fontId="71" fillId="0" borderId="31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28" xfId="0" applyFont="1" applyBorder="1" applyAlignment="1">
      <alignment vertical="top" wrapText="1"/>
    </xf>
    <xf numFmtId="0" fontId="71" fillId="0" borderId="18" xfId="0" applyFont="1" applyBorder="1" applyAlignment="1">
      <alignment vertical="top" wrapText="1"/>
    </xf>
    <xf numFmtId="0" fontId="71" fillId="0" borderId="25" xfId="0" applyFont="1" applyBorder="1" applyAlignment="1">
      <alignment vertical="top" wrapText="1"/>
    </xf>
    <xf numFmtId="0" fontId="71" fillId="0" borderId="30" xfId="0" applyFont="1" applyBorder="1" applyAlignment="1">
      <alignment vertical="top" wrapText="1"/>
    </xf>
    <xf numFmtId="0" fontId="71" fillId="0" borderId="20" xfId="0" applyFont="1" applyBorder="1" applyAlignment="1">
      <alignment vertical="top" wrapText="1"/>
    </xf>
    <xf numFmtId="0" fontId="74" fillId="0" borderId="31" xfId="0" applyFont="1" applyBorder="1" applyAlignment="1">
      <alignment vertical="top" wrapText="1"/>
    </xf>
    <xf numFmtId="0" fontId="74" fillId="0" borderId="24" xfId="0" applyFont="1" applyBorder="1" applyAlignment="1">
      <alignment vertical="top" wrapText="1"/>
    </xf>
    <xf numFmtId="0" fontId="74" fillId="0" borderId="28" xfId="0" applyFont="1" applyBorder="1" applyAlignment="1">
      <alignment vertical="top" wrapText="1"/>
    </xf>
    <xf numFmtId="0" fontId="74" fillId="0" borderId="18" xfId="0" applyFont="1" applyBorder="1" applyAlignment="1">
      <alignment vertical="top" wrapText="1"/>
    </xf>
    <xf numFmtId="0" fontId="74" fillId="0" borderId="20" xfId="0" applyFont="1" applyBorder="1" applyAlignment="1">
      <alignment vertical="top" wrapText="1"/>
    </xf>
    <xf numFmtId="0" fontId="75" fillId="0" borderId="23" xfId="0" applyFont="1" applyBorder="1" applyAlignment="1">
      <alignment vertical="top" wrapText="1"/>
    </xf>
    <xf numFmtId="0" fontId="75" fillId="0" borderId="29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14" fontId="40" fillId="0" borderId="21" xfId="0" applyNumberFormat="1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22" xfId="0" applyFont="1" applyBorder="1" applyAlignment="1">
      <alignment horizontal="center" vertical="top" wrapText="1"/>
    </xf>
    <xf numFmtId="0" fontId="75" fillId="0" borderId="32" xfId="0" applyFont="1" applyBorder="1" applyAlignment="1">
      <alignment vertical="top" wrapText="1"/>
    </xf>
    <xf numFmtId="0" fontId="75" fillId="0" borderId="22" xfId="0" applyFont="1" applyBorder="1" applyAlignment="1">
      <alignment vertical="top" wrapText="1"/>
    </xf>
    <xf numFmtId="0" fontId="75" fillId="0" borderId="25" xfId="0" applyFont="1" applyBorder="1" applyAlignment="1">
      <alignment vertical="top" wrapText="1"/>
    </xf>
    <xf numFmtId="0" fontId="40" fillId="0" borderId="32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25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75" fillId="0" borderId="28" xfId="0" applyFont="1" applyBorder="1" applyAlignment="1">
      <alignment vertical="top" wrapText="1"/>
    </xf>
    <xf numFmtId="0" fontId="75" fillId="0" borderId="18" xfId="0" applyFont="1" applyBorder="1" applyAlignment="1">
      <alignment vertical="top" wrapText="1"/>
    </xf>
    <xf numFmtId="0" fontId="75" fillId="0" borderId="20" xfId="0" applyFont="1" applyBorder="1" applyAlignment="1">
      <alignment vertical="top" wrapText="1"/>
    </xf>
    <xf numFmtId="168" fontId="40" fillId="0" borderId="21" xfId="0" applyNumberFormat="1" applyFont="1" applyBorder="1" applyAlignment="1">
      <alignment vertical="top" wrapText="1"/>
    </xf>
    <xf numFmtId="168" fontId="40" fillId="0" borderId="23" xfId="0" applyNumberFormat="1" applyFont="1" applyBorder="1" applyAlignment="1">
      <alignment vertical="top" wrapText="1"/>
    </xf>
    <xf numFmtId="168" fontId="40" fillId="0" borderId="29" xfId="0" applyNumberFormat="1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4" fontId="71" fillId="0" borderId="21" xfId="0" applyNumberFormat="1" applyFont="1" applyBorder="1" applyAlignment="1">
      <alignment vertical="top" wrapText="1"/>
    </xf>
    <xf numFmtId="0" fontId="75" fillId="0" borderId="21" xfId="0" applyFont="1" applyBorder="1" applyAlignment="1">
      <alignment vertical="top" wrapText="1"/>
    </xf>
    <xf numFmtId="0" fontId="75" fillId="0" borderId="37" xfId="0" applyFont="1" applyBorder="1" applyAlignment="1">
      <alignment vertical="top" wrapText="1"/>
    </xf>
    <xf numFmtId="0" fontId="40" fillId="0" borderId="36" xfId="0" applyFont="1" applyBorder="1" applyAlignment="1">
      <alignment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  <xf numFmtId="0" fontId="76" fillId="0" borderId="22" xfId="0" applyFont="1" applyBorder="1" applyAlignment="1">
      <alignment vertical="top" wrapText="1"/>
    </xf>
    <xf numFmtId="0" fontId="76" fillId="0" borderId="18" xfId="0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71" fillId="0" borderId="21" xfId="0" applyFont="1" applyBorder="1" applyAlignment="1">
      <alignment horizontal="left" vertical="top" wrapText="1"/>
    </xf>
    <xf numFmtId="0" fontId="71" fillId="0" borderId="23" xfId="0" applyFont="1" applyBorder="1" applyAlignment="1">
      <alignment horizontal="left" vertical="top" wrapText="1"/>
    </xf>
    <xf numFmtId="0" fontId="71" fillId="0" borderId="29" xfId="0" applyFont="1" applyBorder="1" applyAlignment="1">
      <alignment horizontal="left" vertical="top" wrapText="1"/>
    </xf>
    <xf numFmtId="0" fontId="40" fillId="0" borderId="26" xfId="0" applyFont="1" applyBorder="1" applyAlignment="1">
      <alignment vertical="top" wrapText="1"/>
    </xf>
    <xf numFmtId="0" fontId="40" fillId="0" borderId="46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0" fillId="0" borderId="20" xfId="0" applyFont="1" applyBorder="1" applyAlignment="1">
      <alignment horizontal="center" vertical="top" wrapText="1"/>
    </xf>
    <xf numFmtId="0" fontId="71" fillId="0" borderId="32" xfId="0" applyFont="1" applyBorder="1" applyAlignment="1">
      <alignment horizontal="center" wrapText="1"/>
    </xf>
    <xf numFmtId="0" fontId="71" fillId="0" borderId="22" xfId="0" applyFont="1" applyBorder="1" applyAlignment="1">
      <alignment horizontal="center" wrapText="1"/>
    </xf>
    <xf numFmtId="0" fontId="71" fillId="0" borderId="34" xfId="0" applyFont="1" applyBorder="1" applyAlignment="1">
      <alignment horizontal="center" wrapText="1"/>
    </xf>
    <xf numFmtId="0" fontId="71" fillId="0" borderId="28" xfId="0" applyFont="1" applyBorder="1" applyAlignment="1">
      <alignment horizontal="center" wrapText="1"/>
    </xf>
    <xf numFmtId="0" fontId="71" fillId="0" borderId="18" xfId="0" applyFont="1" applyBorder="1" applyAlignment="1">
      <alignment horizontal="center" wrapText="1"/>
    </xf>
    <xf numFmtId="0" fontId="71" fillId="0" borderId="35" xfId="0" applyFont="1" applyBorder="1" applyAlignment="1">
      <alignment horizontal="center" wrapText="1"/>
    </xf>
    <xf numFmtId="0" fontId="71" fillId="0" borderId="1" xfId="0" applyFont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71" fillId="0" borderId="1" xfId="0" applyFont="1" applyBorder="1" applyAlignment="1">
      <alignment horizontal="center" vertical="top" wrapText="1"/>
    </xf>
    <xf numFmtId="0" fontId="71" fillId="0" borderId="2" xfId="0" applyFont="1" applyBorder="1" applyAlignment="1">
      <alignment horizontal="center" vertical="top" wrapText="1"/>
    </xf>
    <xf numFmtId="0" fontId="71" fillId="0" borderId="22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40" fillId="0" borderId="33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71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1" fillId="0" borderId="21" xfId="0" applyFont="1" applyBorder="1" applyAlignment="1">
      <alignment horizontal="center" vertical="top" wrapText="1"/>
    </xf>
    <xf numFmtId="0" fontId="71" fillId="0" borderId="23" xfId="0" applyFont="1" applyBorder="1" applyAlignment="1">
      <alignment horizontal="center" vertical="top" wrapText="1"/>
    </xf>
    <xf numFmtId="0" fontId="71" fillId="0" borderId="29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/>
    <xf numFmtId="0" fontId="0" fillId="0" borderId="29" xfId="0" applyBorder="1" applyAlignment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71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1" fillId="0" borderId="24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71" fillId="0" borderId="32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3" fillId="0" borderId="17" xfId="0" applyFont="1" applyBorder="1" applyAlignment="1">
      <alignment vertical="top" wrapText="1"/>
    </xf>
    <xf numFmtId="0" fontId="71" fillId="0" borderId="17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9" xfId="0" applyFont="1" applyBorder="1" applyAlignment="1">
      <alignment vertical="top" wrapText="1"/>
    </xf>
    <xf numFmtId="0" fontId="71" fillId="0" borderId="19" xfId="0" applyFont="1" applyBorder="1" applyAlignment="1">
      <alignment vertical="top" wrapText="1"/>
    </xf>
    <xf numFmtId="49" fontId="74" fillId="0" borderId="19" xfId="0" applyNumberFormat="1" applyFont="1" applyBorder="1" applyAlignment="1">
      <alignment horizontal="center" vertical="center" wrapText="1"/>
    </xf>
    <xf numFmtId="0" fontId="77" fillId="0" borderId="19" xfId="0" applyFont="1" applyBorder="1"/>
    <xf numFmtId="0" fontId="73" fillId="0" borderId="19" xfId="0" applyFont="1" applyBorder="1" applyAlignment="1">
      <alignment vertical="top" wrapText="1"/>
    </xf>
    <xf numFmtId="0" fontId="73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1" fillId="0" borderId="3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top" wrapText="1"/>
    </xf>
    <xf numFmtId="0" fontId="0" fillId="0" borderId="0" xfId="0" applyAlignment="1"/>
    <xf numFmtId="0" fontId="79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71" fillId="0" borderId="7" xfId="0" applyFont="1" applyBorder="1" applyAlignment="1">
      <alignment wrapText="1"/>
    </xf>
    <xf numFmtId="0" fontId="0" fillId="0" borderId="0" xfId="0" applyAlignment="1">
      <alignment vertical="top" wrapText="1"/>
    </xf>
    <xf numFmtId="0" fontId="7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vertical="center" wrapText="1"/>
    </xf>
    <xf numFmtId="0" fontId="21" fillId="0" borderId="4" xfId="0" applyFont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justify" wrapText="1"/>
    </xf>
    <xf numFmtId="0" fontId="21" fillId="0" borderId="3" xfId="0" applyFont="1" applyBorder="1" applyAlignment="1" applyProtection="1"/>
    <xf numFmtId="0" fontId="0" fillId="0" borderId="4" xfId="0" applyBorder="1" applyAlignment="1" applyProtection="1"/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45" xfId="0" applyFont="1" applyBorder="1" applyAlignment="1" applyProtection="1"/>
    <xf numFmtId="0" fontId="22" fillId="0" borderId="43" xfId="0" applyFont="1" applyBorder="1" applyAlignment="1" applyProtection="1"/>
    <xf numFmtId="0" fontId="0" fillId="0" borderId="3" xfId="0" applyBorder="1" applyAlignment="1" applyProtection="1"/>
    <xf numFmtId="0" fontId="13" fillId="0" borderId="5" xfId="0" applyFont="1" applyBorder="1" applyAlignment="1" applyProtection="1">
      <alignment wrapText="1"/>
    </xf>
    <xf numFmtId="0" fontId="13" fillId="0" borderId="6" xfId="0" applyFont="1" applyBorder="1" applyAlignment="1">
      <alignment wrapText="1"/>
    </xf>
    <xf numFmtId="0" fontId="21" fillId="0" borderId="16" xfId="0" applyFont="1" applyFill="1" applyBorder="1" applyAlignment="1" applyProtection="1">
      <alignment horizontal="center" vertical="justify" wrapText="1"/>
    </xf>
    <xf numFmtId="0" fontId="0" fillId="0" borderId="4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24" fillId="0" borderId="2" xfId="0" applyFont="1" applyBorder="1" applyAlignment="1" applyProtection="1">
      <alignment vertical="center" wrapText="1"/>
    </xf>
    <xf numFmtId="0" fontId="19" fillId="0" borderId="4" xfId="0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 applyProtection="1"/>
    <xf numFmtId="0" fontId="22" fillId="0" borderId="4" xfId="0" applyFont="1" applyBorder="1" applyAlignment="1" applyProtection="1"/>
    <xf numFmtId="0" fontId="20" fillId="7" borderId="5" xfId="0" applyFont="1" applyFill="1" applyBorder="1" applyAlignment="1" applyProtection="1">
      <alignment wrapText="1"/>
    </xf>
    <xf numFmtId="0" fontId="20" fillId="7" borderId="41" xfId="0" applyFont="1" applyFill="1" applyBorder="1" applyAlignment="1" applyProtection="1">
      <alignment wrapText="1"/>
    </xf>
    <xf numFmtId="0" fontId="20" fillId="7" borderId="6" xfId="0" applyFont="1" applyFill="1" applyBorder="1" applyAlignment="1" applyProtection="1">
      <alignment wrapText="1"/>
    </xf>
    <xf numFmtId="0" fontId="0" fillId="0" borderId="8" xfId="0" applyBorder="1" applyAlignment="1" applyProtection="1">
      <alignment horizontal="center" vertical="justify" wrapText="1"/>
    </xf>
    <xf numFmtId="0" fontId="0" fillId="0" borderId="44" xfId="0" applyBorder="1" applyAlignment="1" applyProtection="1">
      <alignment horizontal="center" vertical="justify" wrapText="1"/>
    </xf>
    <xf numFmtId="0" fontId="0" fillId="0" borderId="45" xfId="0" applyBorder="1" applyAlignment="1" applyProtection="1">
      <alignment horizontal="center" vertical="justify" wrapText="1"/>
    </xf>
    <xf numFmtId="0" fontId="0" fillId="0" borderId="15" xfId="0" applyBorder="1" applyAlignment="1" applyProtection="1">
      <alignment horizontal="center" vertical="justify" wrapText="1"/>
    </xf>
    <xf numFmtId="0" fontId="0" fillId="0" borderId="43" xfId="0" applyBorder="1" applyAlignment="1" applyProtection="1">
      <alignment horizontal="center" vertical="justify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42" xfId="0" applyFont="1" applyBorder="1" applyAlignment="1" applyProtection="1"/>
    <xf numFmtId="0" fontId="21" fillId="0" borderId="8" xfId="0" applyFont="1" applyBorder="1" applyAlignment="1" applyProtection="1"/>
    <xf numFmtId="0" fontId="21" fillId="0" borderId="15" xfId="0" applyFont="1" applyBorder="1" applyAlignment="1" applyProtection="1"/>
    <xf numFmtId="0" fontId="21" fillId="0" borderId="7" xfId="0" applyFont="1" applyBorder="1" applyAlignment="1" applyProtection="1"/>
    <xf numFmtId="0" fontId="21" fillId="0" borderId="43" xfId="0" applyFont="1" applyBorder="1" applyAlignment="1" applyProtection="1"/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wrapText="1"/>
    </xf>
    <xf numFmtId="0" fontId="0" fillId="0" borderId="15" xfId="0" applyBorder="1" applyAlignment="1">
      <alignment wrapText="1"/>
    </xf>
    <xf numFmtId="0" fontId="29" fillId="7" borderId="5" xfId="0" applyFont="1" applyFill="1" applyBorder="1" applyAlignment="1" applyProtection="1">
      <alignment wrapText="1"/>
    </xf>
    <xf numFmtId="0" fontId="29" fillId="7" borderId="41" xfId="0" applyFont="1" applyFill="1" applyBorder="1" applyAlignment="1" applyProtection="1">
      <alignment wrapText="1"/>
    </xf>
    <xf numFmtId="0" fontId="29" fillId="7" borderId="6" xfId="0" applyFont="1" applyFill="1" applyBorder="1" applyAlignment="1" applyProtection="1">
      <alignment wrapText="1"/>
    </xf>
    <xf numFmtId="0" fontId="16" fillId="7" borderId="5" xfId="0" applyFont="1" applyFill="1" applyBorder="1" applyAlignment="1" applyProtection="1">
      <alignment wrapText="1"/>
    </xf>
    <xf numFmtId="0" fontId="16" fillId="7" borderId="41" xfId="0" applyFont="1" applyFill="1" applyBorder="1" applyAlignment="1" applyProtection="1">
      <alignment wrapText="1"/>
    </xf>
    <xf numFmtId="0" fontId="16" fillId="7" borderId="6" xfId="0" applyFont="1" applyFill="1" applyBorder="1" applyAlignment="1" applyProtection="1">
      <alignment wrapText="1"/>
    </xf>
    <xf numFmtId="0" fontId="16" fillId="9" borderId="5" xfId="0" applyFont="1" applyFill="1" applyBorder="1" applyAlignment="1" applyProtection="1">
      <alignment wrapText="1"/>
    </xf>
    <xf numFmtId="0" fontId="16" fillId="9" borderId="41" xfId="0" applyFont="1" applyFill="1" applyBorder="1" applyAlignment="1" applyProtection="1">
      <alignment wrapText="1"/>
    </xf>
    <xf numFmtId="0" fontId="16" fillId="9" borderId="6" xfId="0" applyFont="1" applyFill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19" fillId="0" borderId="0" xfId="0" applyFont="1" applyAlignment="1">
      <alignment wrapText="1"/>
    </xf>
    <xf numFmtId="0" fontId="34" fillId="7" borderId="5" xfId="0" applyFont="1" applyFill="1" applyBorder="1" applyAlignment="1" applyProtection="1">
      <alignment wrapText="1"/>
    </xf>
    <xf numFmtId="0" fontId="34" fillId="7" borderId="41" xfId="0" applyFont="1" applyFill="1" applyBorder="1" applyAlignment="1" applyProtection="1">
      <alignment wrapText="1"/>
    </xf>
    <xf numFmtId="0" fontId="34" fillId="7" borderId="6" xfId="0" applyFont="1" applyFill="1" applyBorder="1" applyAlignment="1" applyProtection="1">
      <alignment wrapText="1"/>
    </xf>
    <xf numFmtId="0" fontId="84" fillId="0" borderId="44" xfId="0" applyFont="1" applyBorder="1" applyAlignment="1" applyProtection="1">
      <alignment wrapText="1"/>
    </xf>
    <xf numFmtId="0" fontId="84" fillId="0" borderId="0" xfId="0" applyFont="1" applyAlignment="1">
      <alignment wrapText="1"/>
    </xf>
    <xf numFmtId="0" fontId="34" fillId="9" borderId="5" xfId="0" applyFont="1" applyFill="1" applyBorder="1" applyAlignment="1" applyProtection="1">
      <alignment wrapText="1"/>
    </xf>
    <xf numFmtId="0" fontId="34" fillId="9" borderId="41" xfId="0" applyFont="1" applyFill="1" applyBorder="1" applyAlignment="1" applyProtection="1">
      <alignment wrapText="1"/>
    </xf>
    <xf numFmtId="0" fontId="34" fillId="9" borderId="6" xfId="0" applyFont="1" applyFill="1" applyBorder="1" applyAlignment="1" applyProtection="1">
      <alignment wrapText="1"/>
    </xf>
    <xf numFmtId="0" fontId="33" fillId="7" borderId="5" xfId="0" applyFont="1" applyFill="1" applyBorder="1" applyAlignment="1" applyProtection="1">
      <alignment wrapText="1"/>
    </xf>
    <xf numFmtId="0" fontId="33" fillId="7" borderId="41" xfId="0" applyFont="1" applyFill="1" applyBorder="1" applyAlignment="1" applyProtection="1">
      <alignment wrapText="1"/>
    </xf>
    <xf numFmtId="0" fontId="33" fillId="7" borderId="6" xfId="0" applyFont="1" applyFill="1" applyBorder="1" applyAlignment="1" applyProtection="1">
      <alignment wrapText="1"/>
    </xf>
    <xf numFmtId="0" fontId="45" fillId="7" borderId="5" xfId="0" applyFont="1" applyFill="1" applyBorder="1" applyAlignment="1" applyProtection="1">
      <alignment wrapText="1"/>
    </xf>
    <xf numFmtId="0" fontId="45" fillId="7" borderId="41" xfId="0" applyFont="1" applyFill="1" applyBorder="1" applyAlignment="1" applyProtection="1">
      <alignment wrapText="1"/>
    </xf>
    <xf numFmtId="0" fontId="45" fillId="7" borderId="6" xfId="0" applyFont="1" applyFill="1" applyBorder="1" applyAlignment="1" applyProtection="1">
      <alignment wrapText="1"/>
    </xf>
    <xf numFmtId="0" fontId="34" fillId="0" borderId="41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54" fillId="7" borderId="5" xfId="0" applyFont="1" applyFill="1" applyBorder="1" applyAlignment="1" applyProtection="1">
      <alignment wrapText="1"/>
    </xf>
    <xf numFmtId="0" fontId="54" fillId="7" borderId="41" xfId="0" applyFont="1" applyFill="1" applyBorder="1" applyAlignment="1" applyProtection="1">
      <alignment wrapText="1"/>
    </xf>
    <xf numFmtId="0" fontId="54" fillId="7" borderId="6" xfId="0" applyFont="1" applyFill="1" applyBorder="1" applyAlignment="1" applyProtection="1">
      <alignment wrapText="1"/>
    </xf>
    <xf numFmtId="0" fontId="47" fillId="0" borderId="0" xfId="0" applyFont="1" applyAlignment="1" applyProtection="1">
      <alignment wrapText="1"/>
    </xf>
    <xf numFmtId="0" fontId="47" fillId="0" borderId="0" xfId="0" applyFont="1" applyAlignment="1">
      <alignment wrapText="1"/>
    </xf>
    <xf numFmtId="0" fontId="110" fillId="13" borderId="5" xfId="0" applyFont="1" applyFill="1" applyBorder="1" applyAlignment="1">
      <alignment horizontal="center" vertical="center" wrapText="1"/>
    </xf>
    <xf numFmtId="0" fontId="112" fillId="13" borderId="41" xfId="0" applyFont="1" applyFill="1" applyBorder="1" applyAlignment="1"/>
    <xf numFmtId="0" fontId="112" fillId="13" borderId="6" xfId="0" applyFont="1" applyFill="1" applyBorder="1" applyAlignment="1"/>
    <xf numFmtId="0" fontId="53" fillId="7" borderId="5" xfId="0" applyFont="1" applyFill="1" applyBorder="1" applyAlignment="1" applyProtection="1">
      <alignment wrapText="1"/>
    </xf>
    <xf numFmtId="0" fontId="48" fillId="0" borderId="41" xfId="0" applyFont="1" applyBorder="1" applyAlignment="1">
      <alignment wrapText="1"/>
    </xf>
    <xf numFmtId="0" fontId="48" fillId="0" borderId="6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6" xfId="0" applyBorder="1" applyAlignment="1">
      <alignment wrapText="1"/>
    </xf>
    <xf numFmtId="0" fontId="20" fillId="11" borderId="7" xfId="0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0" fontId="29" fillId="11" borderId="7" xfId="0" applyFont="1" applyFill="1" applyBorder="1" applyAlignment="1" applyProtection="1">
      <alignment wrapText="1"/>
    </xf>
    <xf numFmtId="0" fontId="0" fillId="0" borderId="7" xfId="0" applyBorder="1" applyAlignment="1"/>
    <xf numFmtId="0" fontId="0" fillId="0" borderId="43" xfId="0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86;&#1075;&#1072;&#1095;&#1082;&#1086;&#1074;&#1072;\&#1053;&#1086;&#1074;&#1086;&#1077;%20&#1055;&#1060;&#1061;&#1044;%20&#1085;&#1072;%202017&#1075;\&#1060;&#1054;&#1058;,%20&#1064;&#1090;&#1072;&#1090;&#1099;%20,%20&#1088;&#1077;&#1079;&#1077;&#1088;&#1074;%20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TS"/>
      <sheetName val="Штат-внебюджет (2)"/>
      <sheetName val="Штат-свод"/>
      <sheetName val="анализ лим,ФР,КР по ФЗП-внеб"/>
      <sheetName val="Штат-внебюджет"/>
      <sheetName val="Штат-бюджет"/>
      <sheetName val="анализ лим,ФР,КР по ФЗП-бюджет "/>
      <sheetName val="ФОТ, Штаты , резерв 2015"/>
    </sheetNames>
    <definedNames>
      <definedName name="Лист2.Адм_Щелчок"/>
      <definedName name="Лист2.Всп_Щелчок"/>
      <definedName name="Лист2.Обс_Щелчок"/>
      <definedName name="Лист2.Пед_Щелчок"/>
      <definedName name="Лист2.Уч_Щелчок"/>
    </definedNames>
    <sheetDataSet>
      <sheetData sheetId="0"/>
      <sheetData sheetId="1"/>
      <sheetData sheetId="2"/>
      <sheetData sheetId="3"/>
      <sheetData sheetId="4">
        <row r="123">
          <cell r="E123">
            <v>1365.71</v>
          </cell>
        </row>
      </sheetData>
      <sheetData sheetId="5">
        <row r="153">
          <cell r="G153">
            <v>1939.32</v>
          </cell>
        </row>
        <row r="159">
          <cell r="G159">
            <v>640.44908401247665</v>
          </cell>
        </row>
        <row r="160">
          <cell r="G160">
            <v>41586.086553468318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"/>
  <sheetViews>
    <sheetView workbookViewId="0">
      <selection activeCell="I13" sqref="I13"/>
    </sheetView>
  </sheetViews>
  <sheetFormatPr defaultRowHeight="14.4"/>
  <sheetData>
    <row r="2" spans="1:13">
      <c r="A2" s="514" t="s">
        <v>222</v>
      </c>
      <c r="E2" s="503"/>
    </row>
    <row r="3" spans="1:13" ht="16.2" thickBot="1">
      <c r="A3" s="515"/>
      <c r="E3" s="503"/>
    </row>
    <row r="4" spans="1:13" ht="58.2" thickBot="1">
      <c r="A4" s="474" t="s">
        <v>228</v>
      </c>
      <c r="B4" s="720" t="s">
        <v>223</v>
      </c>
      <c r="C4" s="721"/>
      <c r="D4" s="720" t="s">
        <v>224</v>
      </c>
      <c r="E4" s="720"/>
      <c r="F4" s="721"/>
      <c r="G4" s="721"/>
      <c r="H4" s="721"/>
      <c r="I4" s="722" t="s">
        <v>225</v>
      </c>
      <c r="J4" s="723"/>
      <c r="K4" s="723"/>
      <c r="L4" s="469" t="s">
        <v>226</v>
      </c>
      <c r="M4" s="517" t="s">
        <v>227</v>
      </c>
    </row>
    <row r="5" spans="1:13" ht="18.600000000000001" thickBot="1">
      <c r="A5" s="518"/>
      <c r="B5" s="724"/>
      <c r="C5" s="724"/>
      <c r="D5" s="724"/>
      <c r="E5" s="724"/>
      <c r="F5" s="725"/>
      <c r="G5" s="725"/>
      <c r="H5" s="725"/>
      <c r="I5" s="725"/>
      <c r="J5" s="725"/>
      <c r="K5" s="725"/>
      <c r="L5" s="519"/>
      <c r="M5" s="516"/>
    </row>
  </sheetData>
  <mergeCells count="6">
    <mergeCell ref="B4:C4"/>
    <mergeCell ref="D4:H4"/>
    <mergeCell ref="I4:K4"/>
    <mergeCell ref="B5:C5"/>
    <mergeCell ref="D5:H5"/>
    <mergeCell ref="I5:K5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9"/>
  <sheetViews>
    <sheetView topLeftCell="A7" workbookViewId="0">
      <selection activeCell="C17" sqref="C17"/>
    </sheetView>
  </sheetViews>
  <sheetFormatPr defaultColWidth="9.109375" defaultRowHeight="14.4"/>
  <cols>
    <col min="1" max="1" width="6.33203125" style="1" customWidth="1"/>
    <col min="2" max="2" width="44.33203125" style="1" customWidth="1"/>
    <col min="3" max="3" width="13.5546875" style="1" customWidth="1"/>
    <col min="4" max="4" width="12.109375" style="1" customWidth="1"/>
    <col min="5" max="5" width="18.6640625" style="1" customWidth="1"/>
    <col min="6" max="16384" width="9.109375" style="1"/>
  </cols>
  <sheetData>
    <row r="2" spans="1:5" ht="15" customHeight="1">
      <c r="A2" s="920" t="s">
        <v>311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737</v>
      </c>
      <c r="B4" s="920"/>
      <c r="C4" s="920"/>
      <c r="D4" s="920"/>
      <c r="E4" s="920"/>
    </row>
    <row r="6" spans="1:5" ht="15" customHeight="1">
      <c r="A6" s="920" t="s">
        <v>716</v>
      </c>
      <c r="B6" s="920"/>
      <c r="C6" s="920"/>
      <c r="D6" s="920"/>
      <c r="E6" s="920"/>
    </row>
    <row r="8" spans="1:5" ht="15" customHeight="1">
      <c r="A8" s="920" t="s">
        <v>738</v>
      </c>
      <c r="B8" s="920"/>
      <c r="C8" s="920"/>
      <c r="D8" s="920"/>
      <c r="E8" s="920"/>
    </row>
    <row r="10" spans="1:5" ht="90" customHeight="1">
      <c r="A10" s="2" t="s">
        <v>228</v>
      </c>
      <c r="B10" s="2" t="s">
        <v>296</v>
      </c>
      <c r="C10" s="2" t="s">
        <v>297</v>
      </c>
      <c r="D10" s="2" t="s">
        <v>298</v>
      </c>
      <c r="E10" s="3" t="s">
        <v>305</v>
      </c>
    </row>
    <row r="11" spans="1: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>
      <c r="A12" s="2" t="s">
        <v>281</v>
      </c>
      <c r="B12" s="12" t="s">
        <v>299</v>
      </c>
      <c r="C12" s="3">
        <f>C13+C15</f>
        <v>3742597.4499999997</v>
      </c>
      <c r="D12" s="3">
        <v>2.2000000000000002</v>
      </c>
      <c r="E12" s="3">
        <f>E13+E15</f>
        <v>87000</v>
      </c>
    </row>
    <row r="13" spans="1:5" ht="28.8">
      <c r="A13" s="14"/>
      <c r="B13" s="12" t="s">
        <v>300</v>
      </c>
      <c r="C13" s="3">
        <v>3671621.01</v>
      </c>
      <c r="D13" s="3">
        <v>2.2000000000000002</v>
      </c>
      <c r="E13" s="3">
        <v>80775.66</v>
      </c>
    </row>
    <row r="14" spans="1:5" ht="28.8">
      <c r="A14" s="2"/>
      <c r="B14" s="12" t="s">
        <v>301</v>
      </c>
      <c r="C14" s="3"/>
      <c r="D14" s="3"/>
      <c r="E14" s="3"/>
    </row>
    <row r="15" spans="1:5" ht="29.25" customHeight="1">
      <c r="A15" s="14"/>
      <c r="B15" s="12" t="s">
        <v>302</v>
      </c>
      <c r="C15" s="3">
        <v>70976.44</v>
      </c>
      <c r="D15" s="3">
        <v>2.2000000000000002</v>
      </c>
      <c r="E15" s="3">
        <v>6224.34</v>
      </c>
    </row>
    <row r="16" spans="1:5" ht="28.8">
      <c r="A16" s="14"/>
      <c r="B16" s="12" t="s">
        <v>301</v>
      </c>
      <c r="C16" s="2"/>
      <c r="D16" s="3"/>
      <c r="E16" s="3"/>
    </row>
    <row r="17" spans="1:5">
      <c r="A17" s="14"/>
      <c r="B17" s="12"/>
      <c r="C17" s="2"/>
      <c r="D17" s="3"/>
      <c r="E17" s="3"/>
    </row>
    <row r="18" spans="1:5">
      <c r="A18" s="14"/>
      <c r="B18" s="12"/>
      <c r="C18" s="2"/>
      <c r="D18" s="3"/>
      <c r="E18" s="3"/>
    </row>
    <row r="19" spans="1:5">
      <c r="A19" s="13"/>
      <c r="B19" s="12" t="s">
        <v>240</v>
      </c>
      <c r="C19" s="3">
        <f>C13+C15</f>
        <v>3742597.4499999997</v>
      </c>
      <c r="D19" s="3" t="s">
        <v>241</v>
      </c>
      <c r="E19" s="3">
        <f>E15+E13</f>
        <v>87000</v>
      </c>
    </row>
    <row r="21" spans="1:5" ht="18" customHeight="1">
      <c r="A21" s="927"/>
      <c r="B21" s="927"/>
      <c r="C21" s="927"/>
      <c r="D21" s="927"/>
    </row>
    <row r="22" spans="1:5">
      <c r="A22" s="920" t="s">
        <v>303</v>
      </c>
      <c r="B22" s="920"/>
      <c r="C22" s="920"/>
      <c r="D22" s="920"/>
      <c r="E22" s="920"/>
    </row>
    <row r="24" spans="1:5" ht="57.6">
      <c r="A24" s="2" t="s">
        <v>228</v>
      </c>
      <c r="B24" s="2" t="s">
        <v>296</v>
      </c>
      <c r="C24" s="3" t="s">
        <v>304</v>
      </c>
      <c r="D24" s="2" t="s">
        <v>298</v>
      </c>
      <c r="E24" s="3" t="s">
        <v>306</v>
      </c>
    </row>
    <row r="25" spans="1:5">
      <c r="A25" s="3">
        <v>1</v>
      </c>
      <c r="B25" s="3">
        <v>2</v>
      </c>
      <c r="C25" s="3">
        <v>3</v>
      </c>
      <c r="D25" s="3">
        <v>4</v>
      </c>
      <c r="E25" s="3">
        <v>5</v>
      </c>
    </row>
    <row r="26" spans="1:5">
      <c r="A26" s="3" t="s">
        <v>281</v>
      </c>
      <c r="B26" s="15" t="s">
        <v>307</v>
      </c>
      <c r="C26" s="3"/>
      <c r="D26" s="3"/>
      <c r="E26" s="3"/>
    </row>
    <row r="27" spans="1:5">
      <c r="A27" s="3"/>
      <c r="B27" s="15" t="s">
        <v>308</v>
      </c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12" t="s">
        <v>240</v>
      </c>
      <c r="C29" s="3" t="s">
        <v>241</v>
      </c>
      <c r="D29" s="3" t="s">
        <v>241</v>
      </c>
      <c r="E29" s="3"/>
    </row>
  </sheetData>
  <mergeCells count="6">
    <mergeCell ref="A22:E22"/>
    <mergeCell ref="A2:E2"/>
    <mergeCell ref="A4:E4"/>
    <mergeCell ref="A6:E6"/>
    <mergeCell ref="A21:D21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0"/>
  <sheetViews>
    <sheetView topLeftCell="A4" workbookViewId="0">
      <selection activeCell="E16" sqref="E16"/>
    </sheetView>
  </sheetViews>
  <sheetFormatPr defaultColWidth="9.109375" defaultRowHeight="14.4"/>
  <cols>
    <col min="1" max="1" width="6.33203125" style="1" customWidth="1"/>
    <col min="2" max="2" width="44.33203125" style="1" customWidth="1"/>
    <col min="3" max="3" width="13.5546875" style="1" customWidth="1"/>
    <col min="4" max="4" width="12.109375" style="1" customWidth="1"/>
    <col min="5" max="5" width="18.6640625" style="1" customWidth="1"/>
    <col min="6" max="16384" width="9.109375" style="1"/>
  </cols>
  <sheetData>
    <row r="2" spans="1:5" ht="15" customHeight="1">
      <c r="A2" s="920" t="s">
        <v>309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269</v>
      </c>
      <c r="B4" s="920"/>
      <c r="C4" s="920"/>
      <c r="D4" s="920"/>
      <c r="E4" s="920"/>
    </row>
    <row r="6" spans="1:5" ht="15" customHeight="1">
      <c r="A6" s="920" t="s">
        <v>270</v>
      </c>
      <c r="B6" s="920"/>
      <c r="C6" s="920"/>
      <c r="D6" s="920"/>
      <c r="E6" s="920"/>
    </row>
    <row r="9" spans="1:5" ht="90" customHeight="1">
      <c r="A9" s="2" t="s">
        <v>228</v>
      </c>
      <c r="B9" s="2" t="s">
        <v>296</v>
      </c>
      <c r="C9" s="2" t="s">
        <v>297</v>
      </c>
      <c r="D9" s="2" t="s">
        <v>298</v>
      </c>
      <c r="E9" s="2" t="s">
        <v>312</v>
      </c>
    </row>
    <row r="10" spans="1: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>
      <c r="A11" s="2" t="s">
        <v>281</v>
      </c>
      <c r="B11" s="12" t="s">
        <v>313</v>
      </c>
      <c r="C11" s="3"/>
      <c r="D11" s="3"/>
      <c r="E11" s="3"/>
    </row>
    <row r="12" spans="1:5">
      <c r="A12" s="14"/>
      <c r="B12" s="12" t="s">
        <v>314</v>
      </c>
      <c r="C12" s="3"/>
      <c r="D12" s="3"/>
      <c r="E12" s="3"/>
    </row>
    <row r="13" spans="1:5">
      <c r="A13" s="2"/>
      <c r="B13" s="12"/>
      <c r="C13" s="3"/>
      <c r="D13" s="3"/>
      <c r="E13" s="3"/>
    </row>
    <row r="14" spans="1:5" ht="29.25" customHeight="1">
      <c r="A14" s="14" t="s">
        <v>280</v>
      </c>
      <c r="B14" s="12" t="s">
        <v>315</v>
      </c>
      <c r="C14" s="3"/>
      <c r="D14" s="3"/>
      <c r="E14" s="3"/>
    </row>
    <row r="15" spans="1:5">
      <c r="A15" s="14"/>
      <c r="B15" s="12" t="s">
        <v>316</v>
      </c>
      <c r="C15" s="2"/>
      <c r="D15" s="3"/>
      <c r="E15" s="3"/>
    </row>
    <row r="16" spans="1:5">
      <c r="A16" s="14"/>
      <c r="B16" s="12"/>
      <c r="C16" s="2"/>
      <c r="D16" s="3"/>
      <c r="E16" s="3"/>
    </row>
    <row r="17" spans="1:5">
      <c r="A17" s="14"/>
      <c r="B17" s="12"/>
      <c r="C17" s="2"/>
      <c r="D17" s="3"/>
      <c r="E17" s="3"/>
    </row>
    <row r="18" spans="1:5">
      <c r="A18" s="13"/>
      <c r="B18" s="12" t="s">
        <v>240</v>
      </c>
      <c r="C18" s="3" t="s">
        <v>241</v>
      </c>
      <c r="D18" s="3" t="s">
        <v>241</v>
      </c>
      <c r="E18" s="3"/>
    </row>
    <row r="20" spans="1:5" ht="18" customHeight="1">
      <c r="A20" s="927"/>
      <c r="B20" s="927"/>
      <c r="C20" s="927"/>
      <c r="D20" s="927"/>
    </row>
  </sheetData>
  <mergeCells count="4">
    <mergeCell ref="A2:E2"/>
    <mergeCell ref="A4:E4"/>
    <mergeCell ref="A6:E6"/>
    <mergeCell ref="A20:D20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0"/>
  <sheetViews>
    <sheetView workbookViewId="0">
      <selection activeCell="E10" sqref="E10"/>
    </sheetView>
  </sheetViews>
  <sheetFormatPr defaultColWidth="9.109375" defaultRowHeight="14.4"/>
  <cols>
    <col min="1" max="1" width="6.33203125" style="1" customWidth="1"/>
    <col min="2" max="2" width="48.33203125" style="1" customWidth="1"/>
    <col min="3" max="3" width="15.44140625" style="1" customWidth="1"/>
    <col min="4" max="4" width="13.88671875" style="1" customWidth="1"/>
    <col min="5" max="5" width="14" style="1" customWidth="1"/>
    <col min="6" max="16384" width="9.109375" style="1"/>
  </cols>
  <sheetData>
    <row r="2" spans="1:5" ht="15" customHeight="1">
      <c r="A2" s="920" t="s">
        <v>317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269</v>
      </c>
      <c r="B4" s="920"/>
      <c r="C4" s="920"/>
      <c r="D4" s="920"/>
      <c r="E4" s="920"/>
    </row>
    <row r="6" spans="1:5" ht="15" customHeight="1">
      <c r="A6" s="920" t="s">
        <v>270</v>
      </c>
      <c r="B6" s="920"/>
      <c r="C6" s="920"/>
      <c r="D6" s="920"/>
      <c r="E6" s="920"/>
    </row>
    <row r="9" spans="1:5" ht="90" customHeight="1">
      <c r="A9" s="2" t="s">
        <v>228</v>
      </c>
      <c r="B9" s="2" t="s">
        <v>292</v>
      </c>
      <c r="C9" s="2" t="s">
        <v>293</v>
      </c>
      <c r="D9" s="2" t="s">
        <v>294</v>
      </c>
      <c r="E9" s="2" t="s">
        <v>318</v>
      </c>
    </row>
    <row r="10" spans="1: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>
      <c r="A11" s="2"/>
      <c r="B11" s="12"/>
      <c r="C11" s="3"/>
      <c r="D11" s="3"/>
      <c r="E11" s="3"/>
    </row>
    <row r="12" spans="1:5">
      <c r="A12" s="14"/>
      <c r="B12" s="12"/>
      <c r="C12" s="3"/>
      <c r="D12" s="3"/>
      <c r="E12" s="3"/>
    </row>
    <row r="13" spans="1: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>
      <c r="A15" s="14"/>
      <c r="B15" s="12"/>
      <c r="C15" s="2"/>
      <c r="D15" s="3"/>
      <c r="E15" s="3"/>
    </row>
    <row r="16" spans="1:5">
      <c r="A16" s="14"/>
      <c r="B16" s="12"/>
      <c r="C16" s="2"/>
      <c r="D16" s="3"/>
      <c r="E16" s="3"/>
    </row>
    <row r="17" spans="1:5">
      <c r="A17" s="14"/>
      <c r="B17" s="12"/>
      <c r="C17" s="2"/>
      <c r="D17" s="3"/>
      <c r="E17" s="3"/>
    </row>
    <row r="18" spans="1:5">
      <c r="A18" s="13"/>
      <c r="B18" s="12" t="s">
        <v>240</v>
      </c>
      <c r="C18" s="3" t="s">
        <v>241</v>
      </c>
      <c r="D18" s="3" t="s">
        <v>241</v>
      </c>
      <c r="E18" s="3"/>
    </row>
    <row r="20" spans="1:5" ht="18" customHeight="1">
      <c r="A20" s="927"/>
      <c r="B20" s="927"/>
      <c r="C20" s="927"/>
      <c r="D20" s="927"/>
    </row>
  </sheetData>
  <mergeCells count="4">
    <mergeCell ref="A2:E2"/>
    <mergeCell ref="A4:E4"/>
    <mergeCell ref="A6:E6"/>
    <mergeCell ref="A20:D20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0"/>
  <sheetViews>
    <sheetView workbookViewId="0">
      <selection activeCell="B12" sqref="B12"/>
    </sheetView>
  </sheetViews>
  <sheetFormatPr defaultColWidth="9.109375" defaultRowHeight="14.4"/>
  <cols>
    <col min="1" max="1" width="6.33203125" style="1" customWidth="1"/>
    <col min="2" max="2" width="48.33203125" style="1" customWidth="1"/>
    <col min="3" max="3" width="15.44140625" style="1" customWidth="1"/>
    <col min="4" max="4" width="13.88671875" style="1" customWidth="1"/>
    <col min="5" max="5" width="14" style="1" customWidth="1"/>
    <col min="6" max="16384" width="9.109375" style="1"/>
  </cols>
  <sheetData>
    <row r="2" spans="1:5" ht="15" customHeight="1">
      <c r="A2" s="920" t="s">
        <v>319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269</v>
      </c>
      <c r="B4" s="920"/>
      <c r="C4" s="920"/>
      <c r="D4" s="920"/>
      <c r="E4" s="920"/>
    </row>
    <row r="6" spans="1:5" ht="15" customHeight="1">
      <c r="A6" s="920" t="s">
        <v>270</v>
      </c>
      <c r="B6" s="920"/>
      <c r="C6" s="920"/>
      <c r="D6" s="920"/>
      <c r="E6" s="920"/>
    </row>
    <row r="9" spans="1:5" ht="90" customHeight="1">
      <c r="A9" s="2" t="s">
        <v>228</v>
      </c>
      <c r="B9" s="2" t="s">
        <v>292</v>
      </c>
      <c r="C9" s="2" t="s">
        <v>293</v>
      </c>
      <c r="D9" s="2" t="s">
        <v>294</v>
      </c>
      <c r="E9" s="2" t="s">
        <v>318</v>
      </c>
    </row>
    <row r="10" spans="1: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28.8">
      <c r="A11" s="2" t="s">
        <v>281</v>
      </c>
      <c r="B11" s="12" t="s">
        <v>320</v>
      </c>
      <c r="C11" s="3"/>
      <c r="D11" s="3"/>
      <c r="E11" s="3"/>
    </row>
    <row r="12" spans="1:5">
      <c r="A12" s="14"/>
      <c r="B12" s="12"/>
      <c r="C12" s="3"/>
      <c r="D12" s="3"/>
      <c r="E12" s="3"/>
    </row>
    <row r="13" spans="1: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>
      <c r="A15" s="14"/>
      <c r="B15" s="12"/>
      <c r="C15" s="2"/>
      <c r="D15" s="3"/>
      <c r="E15" s="3"/>
    </row>
    <row r="16" spans="1:5">
      <c r="A16" s="14"/>
      <c r="B16" s="12"/>
      <c r="C16" s="2"/>
      <c r="D16" s="3"/>
      <c r="E16" s="3"/>
    </row>
    <row r="17" spans="1:5">
      <c r="A17" s="14"/>
      <c r="B17" s="12"/>
      <c r="C17" s="2"/>
      <c r="D17" s="3"/>
      <c r="E17" s="3"/>
    </row>
    <row r="18" spans="1:5">
      <c r="A18" s="13"/>
      <c r="B18" s="12" t="s">
        <v>240</v>
      </c>
      <c r="C18" s="3" t="s">
        <v>241</v>
      </c>
      <c r="D18" s="3" t="s">
        <v>241</v>
      </c>
      <c r="E18" s="3"/>
    </row>
    <row r="20" spans="1:5" ht="18" customHeight="1">
      <c r="A20" s="927"/>
      <c r="B20" s="927"/>
      <c r="C20" s="927"/>
      <c r="D20" s="927"/>
    </row>
  </sheetData>
  <mergeCells count="4">
    <mergeCell ref="A2:E2"/>
    <mergeCell ref="A4:E4"/>
    <mergeCell ref="A6:E6"/>
    <mergeCell ref="A20:D20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3"/>
  <sheetViews>
    <sheetView topLeftCell="A10" workbookViewId="0">
      <selection activeCell="F19" sqref="F19"/>
    </sheetView>
  </sheetViews>
  <sheetFormatPr defaultColWidth="9.109375" defaultRowHeight="14.4"/>
  <cols>
    <col min="1" max="1" width="6.33203125" style="1" customWidth="1"/>
    <col min="2" max="2" width="51.5546875" style="1" customWidth="1"/>
    <col min="3" max="3" width="15.44140625" style="1" customWidth="1"/>
    <col min="4" max="5" width="13.88671875" style="1" customWidth="1"/>
    <col min="6" max="6" width="14" style="1" customWidth="1"/>
    <col min="7" max="16384" width="9.109375" style="1"/>
  </cols>
  <sheetData>
    <row r="2" spans="1:6" ht="15" customHeight="1">
      <c r="A2" s="920" t="s">
        <v>321</v>
      </c>
      <c r="B2" s="920"/>
      <c r="C2" s="920"/>
      <c r="D2" s="920"/>
      <c r="E2" s="920"/>
      <c r="F2" s="920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920" t="s">
        <v>718</v>
      </c>
      <c r="B4" s="920"/>
      <c r="C4" s="920"/>
      <c r="D4" s="920"/>
      <c r="E4" s="920"/>
      <c r="F4" s="920"/>
    </row>
    <row r="6" spans="1:6" ht="15" customHeight="1">
      <c r="A6" s="920" t="s">
        <v>716</v>
      </c>
      <c r="B6" s="920"/>
      <c r="C6" s="920"/>
      <c r="D6" s="920"/>
      <c r="E6" s="920"/>
      <c r="F6" s="920"/>
    </row>
    <row r="8" spans="1:6">
      <c r="A8" s="920" t="s">
        <v>722</v>
      </c>
      <c r="B8" s="920"/>
      <c r="C8" s="920"/>
      <c r="D8" s="920"/>
      <c r="E8" s="920"/>
      <c r="F8" s="920"/>
    </row>
    <row r="10" spans="1:6" ht="90" customHeight="1">
      <c r="A10" s="2" t="s">
        <v>228</v>
      </c>
      <c r="B10" s="2" t="s">
        <v>248</v>
      </c>
      <c r="C10" s="2" t="s">
        <v>322</v>
      </c>
      <c r="D10" s="2" t="s">
        <v>323</v>
      </c>
      <c r="E10" s="2" t="s">
        <v>324</v>
      </c>
      <c r="F10" s="2" t="s">
        <v>325</v>
      </c>
    </row>
    <row r="11" spans="1:6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28.8">
      <c r="A12" s="2"/>
      <c r="B12" s="12" t="s">
        <v>744</v>
      </c>
      <c r="C12" s="3">
        <v>1</v>
      </c>
      <c r="D12" s="3">
        <v>12</v>
      </c>
      <c r="E12" s="3">
        <v>500</v>
      </c>
      <c r="F12" s="3">
        <v>6000</v>
      </c>
    </row>
    <row r="13" spans="1:6" ht="28.8">
      <c r="A13" s="14"/>
      <c r="B13" s="12" t="s">
        <v>326</v>
      </c>
      <c r="C13" s="3"/>
      <c r="D13" s="3"/>
      <c r="E13" s="3"/>
      <c r="F13" s="3"/>
    </row>
    <row r="14" spans="1:6">
      <c r="A14" s="2"/>
      <c r="B14" s="12" t="s">
        <v>327</v>
      </c>
      <c r="C14" s="3"/>
      <c r="D14" s="3"/>
      <c r="E14" s="3"/>
      <c r="F14" s="3"/>
    </row>
    <row r="15" spans="1:6" ht="29.25" customHeight="1">
      <c r="A15" s="14"/>
      <c r="B15" s="12" t="s">
        <v>375</v>
      </c>
      <c r="C15" s="3"/>
      <c r="D15" s="3"/>
      <c r="E15" s="3"/>
      <c r="F15" s="3"/>
    </row>
    <row r="16" spans="1:6" ht="28.8">
      <c r="A16" s="14"/>
      <c r="B16" s="12" t="s">
        <v>328</v>
      </c>
      <c r="C16" s="2"/>
      <c r="D16" s="3"/>
      <c r="E16" s="3"/>
      <c r="F16" s="3"/>
    </row>
    <row r="17" spans="1:6">
      <c r="A17" s="14"/>
      <c r="B17" s="12" t="s">
        <v>329</v>
      </c>
      <c r="C17" s="2"/>
      <c r="D17" s="3"/>
      <c r="E17" s="3"/>
      <c r="F17" s="3"/>
    </row>
    <row r="18" spans="1:6">
      <c r="A18" s="14"/>
      <c r="B18" s="12" t="s">
        <v>745</v>
      </c>
      <c r="C18" s="2">
        <v>1</v>
      </c>
      <c r="D18" s="3">
        <v>7</v>
      </c>
      <c r="E18" s="3">
        <v>714.29</v>
      </c>
      <c r="F18" s="3">
        <v>5000</v>
      </c>
    </row>
    <row r="19" spans="1:6">
      <c r="A19" s="14"/>
      <c r="B19" s="12"/>
      <c r="C19" s="2"/>
      <c r="D19" s="3"/>
      <c r="E19" s="3"/>
      <c r="F19" s="3"/>
    </row>
    <row r="20" spans="1:6">
      <c r="A20" s="14"/>
      <c r="B20" s="12"/>
      <c r="C20" s="2"/>
      <c r="D20" s="3"/>
      <c r="E20" s="3"/>
      <c r="F20" s="3"/>
    </row>
    <row r="21" spans="1:6">
      <c r="A21" s="13"/>
      <c r="B21" s="12" t="s">
        <v>240</v>
      </c>
      <c r="C21" s="3" t="s">
        <v>241</v>
      </c>
      <c r="D21" s="3" t="s">
        <v>241</v>
      </c>
      <c r="E21" s="3" t="s">
        <v>241</v>
      </c>
      <c r="F21" s="3">
        <f>F12+F18</f>
        <v>11000</v>
      </c>
    </row>
    <row r="23" spans="1:6" ht="18" customHeight="1">
      <c r="A23" s="927"/>
      <c r="B23" s="927"/>
      <c r="C23" s="927"/>
      <c r="D23" s="927"/>
      <c r="E23" s="4"/>
    </row>
  </sheetData>
  <mergeCells count="5">
    <mergeCell ref="A2:F2"/>
    <mergeCell ref="A4:F4"/>
    <mergeCell ref="A6:F6"/>
    <mergeCell ref="A23:D23"/>
    <mergeCell ref="A8:F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topLeftCell="A4" workbookViewId="0">
      <selection activeCell="B24" sqref="B24"/>
    </sheetView>
  </sheetViews>
  <sheetFormatPr defaultColWidth="9.109375" defaultRowHeight="14.4"/>
  <cols>
    <col min="1" max="1" width="6.33203125" style="1" customWidth="1"/>
    <col min="2" max="2" width="48.88671875" style="1" customWidth="1"/>
    <col min="3" max="3" width="15.44140625" style="1" customWidth="1"/>
    <col min="4" max="4" width="13.88671875" style="1" customWidth="1"/>
    <col min="5" max="5" width="14" style="1" customWidth="1"/>
    <col min="6" max="16384" width="9.109375" style="1"/>
  </cols>
  <sheetData>
    <row r="2" spans="1:5" ht="15" customHeight="1">
      <c r="A2" s="920" t="s">
        <v>321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269</v>
      </c>
      <c r="B4" s="920"/>
      <c r="C4" s="920"/>
      <c r="D4" s="920"/>
      <c r="E4" s="920"/>
    </row>
    <row r="6" spans="1:5" ht="15" customHeight="1">
      <c r="A6" s="920" t="s">
        <v>270</v>
      </c>
      <c r="B6" s="920"/>
      <c r="C6" s="920"/>
      <c r="D6" s="920"/>
      <c r="E6" s="920"/>
    </row>
    <row r="8" spans="1:5">
      <c r="A8" s="920" t="s">
        <v>330</v>
      </c>
      <c r="B8" s="920"/>
      <c r="C8" s="920"/>
      <c r="D8" s="920"/>
      <c r="E8" s="920"/>
    </row>
    <row r="10" spans="1:5" ht="90" customHeight="1">
      <c r="A10" s="2" t="s">
        <v>228</v>
      </c>
      <c r="B10" s="2" t="s">
        <v>248</v>
      </c>
      <c r="C10" s="2" t="s">
        <v>331</v>
      </c>
      <c r="D10" s="2" t="s">
        <v>332</v>
      </c>
      <c r="E10" s="2" t="s">
        <v>333</v>
      </c>
    </row>
    <row r="11" spans="1: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24" customHeight="1">
      <c r="A12" s="2"/>
      <c r="B12" s="12" t="s">
        <v>334</v>
      </c>
      <c r="C12" s="3"/>
      <c r="D12" s="3"/>
      <c r="E12" s="3"/>
    </row>
    <row r="13" spans="1:5" ht="28.8">
      <c r="A13" s="14"/>
      <c r="B13" s="12" t="s">
        <v>335</v>
      </c>
      <c r="C13" s="3"/>
      <c r="D13" s="3"/>
      <c r="E13" s="3"/>
    </row>
    <row r="14" spans="1:5">
      <c r="A14" s="2"/>
      <c r="B14" s="12"/>
      <c r="C14" s="3"/>
      <c r="D14" s="3"/>
      <c r="E14" s="3"/>
    </row>
    <row r="15" spans="1:5" ht="29.25" customHeight="1">
      <c r="A15" s="14"/>
      <c r="B15" s="12"/>
      <c r="C15" s="3"/>
      <c r="D15" s="3"/>
      <c r="E15" s="3"/>
    </row>
    <row r="16" spans="1:5">
      <c r="A16" s="13"/>
      <c r="B16" s="12" t="s">
        <v>240</v>
      </c>
      <c r="C16" s="3" t="s">
        <v>241</v>
      </c>
      <c r="D16" s="3" t="s">
        <v>241</v>
      </c>
      <c r="E16" s="3"/>
    </row>
    <row r="18" spans="1:4" ht="18" customHeight="1">
      <c r="A18" s="927"/>
      <c r="B18" s="927"/>
      <c r="C18" s="927"/>
      <c r="D18" s="4"/>
    </row>
  </sheetData>
  <mergeCells count="5">
    <mergeCell ref="A18:C18"/>
    <mergeCell ref="A2:E2"/>
    <mergeCell ref="A4:E4"/>
    <mergeCell ref="A6:E6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0"/>
  <sheetViews>
    <sheetView topLeftCell="A7" workbookViewId="0">
      <selection activeCell="D21" sqref="D21"/>
    </sheetView>
  </sheetViews>
  <sheetFormatPr defaultColWidth="9.109375" defaultRowHeight="14.4"/>
  <cols>
    <col min="1" max="1" width="6.33203125" style="1" customWidth="1"/>
    <col min="2" max="2" width="33.44140625" style="1" customWidth="1"/>
    <col min="3" max="3" width="15.44140625" style="1" customWidth="1"/>
    <col min="4" max="5" width="13.88671875" style="1" customWidth="1"/>
    <col min="6" max="6" width="14" style="1" customWidth="1"/>
    <col min="7" max="16384" width="9.109375" style="1"/>
  </cols>
  <sheetData>
    <row r="2" spans="1:6" ht="15" customHeight="1">
      <c r="A2" s="920" t="s">
        <v>321</v>
      </c>
      <c r="B2" s="920"/>
      <c r="C2" s="920"/>
      <c r="D2" s="920"/>
      <c r="E2" s="920"/>
      <c r="F2" s="920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920" t="s">
        <v>720</v>
      </c>
      <c r="B4" s="920"/>
      <c r="C4" s="920"/>
      <c r="D4" s="920"/>
      <c r="E4" s="920"/>
      <c r="F4" s="920"/>
    </row>
    <row r="6" spans="1:6" ht="15" customHeight="1">
      <c r="A6" s="920" t="s">
        <v>716</v>
      </c>
      <c r="B6" s="920"/>
      <c r="C6" s="920"/>
      <c r="D6" s="920"/>
      <c r="E6" s="920"/>
      <c r="F6" s="920"/>
    </row>
    <row r="8" spans="1:6">
      <c r="A8" s="920" t="s">
        <v>721</v>
      </c>
      <c r="B8" s="920"/>
      <c r="C8" s="920"/>
      <c r="D8" s="920"/>
      <c r="E8" s="920"/>
      <c r="F8" s="920"/>
    </row>
    <row r="10" spans="1:6" ht="90" customHeight="1">
      <c r="A10" s="2" t="s">
        <v>228</v>
      </c>
      <c r="B10" s="2" t="s">
        <v>292</v>
      </c>
      <c r="C10" s="2" t="s">
        <v>336</v>
      </c>
      <c r="D10" s="2" t="s">
        <v>337</v>
      </c>
      <c r="E10" s="2" t="s">
        <v>338</v>
      </c>
      <c r="F10" s="2" t="s">
        <v>339</v>
      </c>
    </row>
    <row r="11" spans="1:6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24" customHeight="1">
      <c r="A12" s="2"/>
      <c r="B12" s="12" t="s">
        <v>340</v>
      </c>
      <c r="C12" s="712">
        <f>C14</f>
        <v>245011.60092807427</v>
      </c>
      <c r="D12" s="3">
        <v>4.3099999999999996</v>
      </c>
      <c r="E12" s="3"/>
      <c r="F12" s="3">
        <f>F14</f>
        <v>1056000</v>
      </c>
    </row>
    <row r="13" spans="1:6">
      <c r="A13" s="14"/>
      <c r="B13" s="12" t="s">
        <v>341</v>
      </c>
      <c r="C13" s="3"/>
      <c r="D13" s="3"/>
      <c r="E13" s="3"/>
      <c r="F13" s="3"/>
    </row>
    <row r="14" spans="1:6" ht="28.8">
      <c r="A14" s="14"/>
      <c r="B14" s="12" t="s">
        <v>746</v>
      </c>
      <c r="C14" s="712">
        <f>F14/D14</f>
        <v>245011.60092807427</v>
      </c>
      <c r="D14" s="3">
        <v>4.3099999999999996</v>
      </c>
      <c r="E14" s="3"/>
      <c r="F14" s="3">
        <v>1056000</v>
      </c>
    </row>
    <row r="15" spans="1:6">
      <c r="A15" s="14"/>
      <c r="B15" s="12" t="s">
        <v>693</v>
      </c>
      <c r="C15" s="712">
        <f>C17</f>
        <v>1207.3272273105745</v>
      </c>
      <c r="D15" s="3">
        <f t="shared" ref="D15:F15" si="0">D17</f>
        <v>48.04</v>
      </c>
      <c r="E15" s="3"/>
      <c r="F15" s="3">
        <f t="shared" si="0"/>
        <v>58000</v>
      </c>
    </row>
    <row r="16" spans="1:6">
      <c r="A16" s="14"/>
      <c r="B16" s="12" t="s">
        <v>341</v>
      </c>
      <c r="C16" s="3"/>
      <c r="D16" s="3"/>
      <c r="E16" s="3"/>
      <c r="F16" s="3"/>
    </row>
    <row r="17" spans="1:6" ht="28.8">
      <c r="A17" s="14"/>
      <c r="B17" s="12" t="s">
        <v>747</v>
      </c>
      <c r="C17" s="712">
        <f>F17/D17</f>
        <v>1207.3272273105745</v>
      </c>
      <c r="D17" s="3">
        <v>48.04</v>
      </c>
      <c r="E17" s="3"/>
      <c r="F17" s="3">
        <v>58000</v>
      </c>
    </row>
    <row r="18" spans="1:6">
      <c r="A18" s="13"/>
      <c r="B18" s="12" t="s">
        <v>240</v>
      </c>
      <c r="C18" s="3" t="s">
        <v>241</v>
      </c>
      <c r="D18" s="3" t="s">
        <v>241</v>
      </c>
      <c r="E18" s="3" t="s">
        <v>241</v>
      </c>
      <c r="F18" s="3">
        <f>F12+F15</f>
        <v>1114000</v>
      </c>
    </row>
    <row r="20" spans="1:6" ht="18" customHeight="1">
      <c r="A20" s="927"/>
      <c r="B20" s="927"/>
      <c r="C20" s="927"/>
      <c r="D20" s="4"/>
      <c r="E20" s="4"/>
    </row>
  </sheetData>
  <mergeCells count="5">
    <mergeCell ref="A20:C20"/>
    <mergeCell ref="A2:F2"/>
    <mergeCell ref="A4:F4"/>
    <mergeCell ref="A6:F6"/>
    <mergeCell ref="A8:F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3"/>
  <sheetViews>
    <sheetView topLeftCell="A7" workbookViewId="0">
      <selection activeCell="A23" sqref="A23:C23"/>
    </sheetView>
  </sheetViews>
  <sheetFormatPr defaultColWidth="9.109375" defaultRowHeight="14.4"/>
  <cols>
    <col min="1" max="1" width="6.33203125" style="1" customWidth="1"/>
    <col min="2" max="2" width="41.88671875" style="1" customWidth="1"/>
    <col min="3" max="3" width="15.44140625" style="1" customWidth="1"/>
    <col min="4" max="4" width="15" style="1" customWidth="1"/>
    <col min="5" max="5" width="13.88671875" style="1" customWidth="1"/>
    <col min="6" max="16384" width="9.109375" style="1"/>
  </cols>
  <sheetData>
    <row r="2" spans="1:5" ht="15" customHeight="1">
      <c r="A2" s="920" t="s">
        <v>321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245</v>
      </c>
      <c r="B4" s="920"/>
      <c r="C4" s="920"/>
      <c r="D4" s="920"/>
      <c r="E4" s="920"/>
    </row>
    <row r="6" spans="1:5" ht="15" customHeight="1">
      <c r="A6" s="920" t="s">
        <v>345</v>
      </c>
      <c r="B6" s="920"/>
      <c r="C6" s="920"/>
      <c r="D6" s="920"/>
      <c r="E6" s="920"/>
    </row>
    <row r="8" spans="1:5">
      <c r="A8" s="920" t="s">
        <v>342</v>
      </c>
      <c r="B8" s="920"/>
      <c r="C8" s="920"/>
      <c r="D8" s="920"/>
      <c r="E8" s="920"/>
    </row>
    <row r="10" spans="1:5" ht="90" customHeight="1">
      <c r="A10" s="2" t="s">
        <v>228</v>
      </c>
      <c r="B10" s="2" t="s">
        <v>292</v>
      </c>
      <c r="C10" s="2" t="s">
        <v>343</v>
      </c>
      <c r="D10" s="2" t="s">
        <v>344</v>
      </c>
      <c r="E10" s="2" t="s">
        <v>346</v>
      </c>
    </row>
    <row r="11" spans="1: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4" customHeight="1">
      <c r="A12" s="2"/>
      <c r="B12" s="12" t="s">
        <v>347</v>
      </c>
      <c r="C12" s="3" t="s">
        <v>241</v>
      </c>
      <c r="D12" s="3" t="s">
        <v>241</v>
      </c>
      <c r="E12" s="3"/>
    </row>
    <row r="13" spans="1:5">
      <c r="A13" s="14"/>
      <c r="B13" s="12" t="s">
        <v>341</v>
      </c>
      <c r="C13" s="3"/>
      <c r="D13" s="3"/>
      <c r="E13" s="3"/>
    </row>
    <row r="14" spans="1:5">
      <c r="A14" s="14"/>
      <c r="B14" s="12"/>
      <c r="C14" s="3"/>
      <c r="D14" s="3"/>
      <c r="E14" s="3"/>
    </row>
    <row r="15" spans="1:5">
      <c r="A15" s="14"/>
      <c r="B15" s="12"/>
      <c r="C15" s="3"/>
      <c r="D15" s="3"/>
      <c r="E15" s="3"/>
    </row>
    <row r="16" spans="1:5">
      <c r="A16" s="14"/>
      <c r="B16" s="12" t="s">
        <v>348</v>
      </c>
      <c r="C16" s="3" t="s">
        <v>241</v>
      </c>
      <c r="D16" s="3" t="s">
        <v>241</v>
      </c>
      <c r="E16" s="3"/>
    </row>
    <row r="17" spans="1:5">
      <c r="A17" s="14"/>
      <c r="B17" s="12" t="s">
        <v>341</v>
      </c>
      <c r="C17" s="3"/>
      <c r="D17" s="3"/>
      <c r="E17" s="3"/>
    </row>
    <row r="18" spans="1:5">
      <c r="A18" s="14"/>
      <c r="B18" s="12"/>
      <c r="C18" s="3"/>
      <c r="D18" s="3"/>
      <c r="E18" s="3"/>
    </row>
    <row r="19" spans="1:5">
      <c r="A19" s="14"/>
      <c r="B19" s="12"/>
      <c r="C19" s="3"/>
      <c r="D19" s="3"/>
      <c r="E19" s="3"/>
    </row>
    <row r="20" spans="1:5">
      <c r="A20" s="14"/>
      <c r="B20" s="12"/>
      <c r="C20" s="3"/>
      <c r="D20" s="3"/>
      <c r="E20" s="3"/>
    </row>
    <row r="21" spans="1:5">
      <c r="A21" s="13"/>
      <c r="B21" s="12" t="s">
        <v>240</v>
      </c>
      <c r="C21" s="3" t="s">
        <v>241</v>
      </c>
      <c r="D21" s="3" t="s">
        <v>241</v>
      </c>
      <c r="E21" s="3" t="s">
        <v>241</v>
      </c>
    </row>
    <row r="23" spans="1:5" ht="18" customHeight="1">
      <c r="A23" s="927"/>
      <c r="B23" s="927"/>
      <c r="C23" s="927"/>
      <c r="D23" s="4"/>
      <c r="E23" s="4"/>
    </row>
  </sheetData>
  <mergeCells count="5">
    <mergeCell ref="A23:C23"/>
    <mergeCell ref="A2:E2"/>
    <mergeCell ref="A4:E4"/>
    <mergeCell ref="A6:E6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5"/>
  <sheetViews>
    <sheetView workbookViewId="0">
      <selection activeCell="E20" sqref="E20"/>
    </sheetView>
  </sheetViews>
  <sheetFormatPr defaultColWidth="9.109375" defaultRowHeight="14.4"/>
  <cols>
    <col min="1" max="1" width="6.33203125" style="1" customWidth="1"/>
    <col min="2" max="2" width="41.88671875" style="1" customWidth="1"/>
    <col min="3" max="3" width="15.44140625" style="1" customWidth="1"/>
    <col min="4" max="4" width="15" style="1" customWidth="1"/>
    <col min="5" max="5" width="13.88671875" style="1" customWidth="1"/>
    <col min="6" max="16384" width="9.109375" style="1"/>
  </cols>
  <sheetData>
    <row r="2" spans="1:5" ht="15" customHeight="1">
      <c r="A2" s="920" t="s">
        <v>321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718</v>
      </c>
      <c r="B4" s="920"/>
      <c r="C4" s="920"/>
      <c r="D4" s="920"/>
      <c r="E4" s="920"/>
    </row>
    <row r="6" spans="1:5" ht="15" customHeight="1">
      <c r="A6" s="920" t="s">
        <v>717</v>
      </c>
      <c r="B6" s="920"/>
      <c r="C6" s="920"/>
      <c r="D6" s="920"/>
      <c r="E6" s="920"/>
    </row>
    <row r="8" spans="1:5" ht="15" customHeight="1">
      <c r="A8" s="920" t="s">
        <v>719</v>
      </c>
      <c r="B8" s="920"/>
      <c r="C8" s="920"/>
      <c r="D8" s="920"/>
      <c r="E8" s="920"/>
    </row>
    <row r="10" spans="1:5" ht="66" customHeight="1">
      <c r="A10" s="2" t="s">
        <v>228</v>
      </c>
      <c r="B10" s="2" t="s">
        <v>248</v>
      </c>
      <c r="C10" s="2" t="s">
        <v>349</v>
      </c>
      <c r="D10" s="2" t="s">
        <v>350</v>
      </c>
      <c r="E10" s="2" t="s">
        <v>351</v>
      </c>
    </row>
    <row r="11" spans="1: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6.5" customHeight="1">
      <c r="A12" s="715" t="s">
        <v>281</v>
      </c>
      <c r="B12" s="15" t="s">
        <v>352</v>
      </c>
      <c r="C12" s="715" t="s">
        <v>241</v>
      </c>
      <c r="D12" s="715" t="s">
        <v>241</v>
      </c>
      <c r="E12" s="715">
        <f>E18+E19</f>
        <v>25000</v>
      </c>
    </row>
    <row r="13" spans="1:5" ht="17.25" customHeight="1">
      <c r="A13" s="715"/>
      <c r="B13" s="15" t="s">
        <v>727</v>
      </c>
      <c r="C13" s="715"/>
      <c r="D13" s="715"/>
      <c r="E13" s="715"/>
    </row>
    <row r="14" spans="1:5" ht="30" hidden="1" customHeight="1">
      <c r="A14" s="715"/>
      <c r="B14" s="15" t="s">
        <v>728</v>
      </c>
      <c r="C14" s="715"/>
      <c r="D14" s="715"/>
      <c r="E14" s="715"/>
    </row>
    <row r="15" spans="1:5" ht="17.25" hidden="1" customHeight="1">
      <c r="A15" s="715"/>
      <c r="B15" s="15" t="s">
        <v>729</v>
      </c>
      <c r="C15" s="715"/>
      <c r="D15" s="715"/>
      <c r="E15" s="715"/>
    </row>
    <row r="16" spans="1:5" ht="22.5" hidden="1" customHeight="1">
      <c r="A16" s="2"/>
      <c r="B16" s="15" t="s">
        <v>697</v>
      </c>
      <c r="C16" s="2">
        <v>1</v>
      </c>
      <c r="D16" s="2">
        <v>1</v>
      </c>
      <c r="E16" s="2">
        <v>5000</v>
      </c>
    </row>
    <row r="17" spans="1:5" ht="33.75" hidden="1" customHeight="1">
      <c r="A17" s="2"/>
      <c r="B17" s="15" t="s">
        <v>698</v>
      </c>
      <c r="C17" s="2">
        <v>1</v>
      </c>
      <c r="D17" s="2">
        <v>1</v>
      </c>
      <c r="E17" s="2">
        <v>14000</v>
      </c>
    </row>
    <row r="18" spans="1:5" ht="48" customHeight="1">
      <c r="A18" s="715"/>
      <c r="B18" s="15" t="s">
        <v>748</v>
      </c>
      <c r="C18" s="3">
        <v>1</v>
      </c>
      <c r="D18" s="3">
        <v>1</v>
      </c>
      <c r="E18" s="3">
        <v>14000</v>
      </c>
    </row>
    <row r="19" spans="1:5" ht="31.5" customHeight="1">
      <c r="A19" s="715"/>
      <c r="B19" s="15" t="s">
        <v>749</v>
      </c>
      <c r="C19" s="715">
        <v>1</v>
      </c>
      <c r="D19" s="715">
        <v>1</v>
      </c>
      <c r="E19" s="715">
        <v>11000</v>
      </c>
    </row>
    <row r="20" spans="1:5" ht="30.75" customHeight="1">
      <c r="A20" s="2" t="s">
        <v>280</v>
      </c>
      <c r="B20" s="15" t="s">
        <v>353</v>
      </c>
      <c r="C20" s="2" t="s">
        <v>241</v>
      </c>
      <c r="D20" s="2" t="s">
        <v>241</v>
      </c>
      <c r="E20" s="2"/>
    </row>
    <row r="21" spans="1:5" ht="33.75" customHeight="1">
      <c r="A21" s="2"/>
      <c r="B21" s="15" t="s">
        <v>354</v>
      </c>
      <c r="C21" s="2"/>
      <c r="D21" s="2"/>
      <c r="E21" s="2"/>
    </row>
    <row r="22" spans="1:5" ht="17.25" customHeight="1">
      <c r="A22" s="2"/>
      <c r="B22" s="15" t="s">
        <v>355</v>
      </c>
      <c r="C22" s="2"/>
      <c r="D22" s="2"/>
      <c r="E22" s="2"/>
    </row>
    <row r="23" spans="1:5" hidden="1">
      <c r="A23" s="2"/>
      <c r="B23" s="15"/>
      <c r="C23" s="2"/>
      <c r="D23" s="2"/>
      <c r="E23" s="2"/>
    </row>
    <row r="24" spans="1:5" ht="19.5" customHeight="1">
      <c r="A24" s="2" t="s">
        <v>289</v>
      </c>
      <c r="B24" s="15" t="s">
        <v>356</v>
      </c>
      <c r="C24" s="2" t="s">
        <v>241</v>
      </c>
      <c r="D24" s="2" t="s">
        <v>241</v>
      </c>
      <c r="E24" s="2">
        <f>E25+E26</f>
        <v>16000</v>
      </c>
    </row>
    <row r="25" spans="1:5" ht="42" customHeight="1">
      <c r="A25" s="2"/>
      <c r="B25" s="717" t="s">
        <v>730</v>
      </c>
      <c r="C25" s="2">
        <v>1</v>
      </c>
      <c r="D25" s="2">
        <v>1</v>
      </c>
      <c r="E25" s="2">
        <v>10000</v>
      </c>
    </row>
    <row r="26" spans="1:5" ht="14.25" customHeight="1">
      <c r="A26" s="2"/>
      <c r="B26" s="15" t="s">
        <v>696</v>
      </c>
      <c r="C26" s="2">
        <v>1</v>
      </c>
      <c r="D26" s="2">
        <v>1</v>
      </c>
      <c r="E26" s="2">
        <v>6000</v>
      </c>
    </row>
    <row r="27" spans="1:5" ht="33" customHeight="1">
      <c r="A27" s="2" t="s">
        <v>357</v>
      </c>
      <c r="B27" s="15" t="s">
        <v>358</v>
      </c>
      <c r="C27" s="2" t="s">
        <v>241</v>
      </c>
      <c r="D27" s="2" t="s">
        <v>241</v>
      </c>
      <c r="E27" s="2">
        <f>E29+E30+E31+E32</f>
        <v>126000</v>
      </c>
    </row>
    <row r="28" spans="1:5" ht="17.25" customHeight="1">
      <c r="A28" s="2"/>
      <c r="B28" s="15" t="s">
        <v>235</v>
      </c>
      <c r="C28" s="2"/>
      <c r="D28" s="2"/>
      <c r="E28" s="2"/>
    </row>
    <row r="29" spans="1:5" ht="37.5" customHeight="1">
      <c r="A29" s="2"/>
      <c r="B29" s="15" t="s">
        <v>750</v>
      </c>
      <c r="C29" s="2">
        <v>1</v>
      </c>
      <c r="D29" s="2">
        <v>1</v>
      </c>
      <c r="E29" s="2">
        <v>14000</v>
      </c>
    </row>
    <row r="30" spans="1:5" ht="27.75" customHeight="1">
      <c r="A30" s="2"/>
      <c r="B30" s="15" t="s">
        <v>751</v>
      </c>
      <c r="C30" s="2">
        <v>1</v>
      </c>
      <c r="D30" s="2">
        <v>1</v>
      </c>
      <c r="E30" s="2">
        <v>62000</v>
      </c>
    </row>
    <row r="31" spans="1:5" ht="31.5" customHeight="1">
      <c r="A31" s="703"/>
      <c r="B31" s="15" t="s">
        <v>752</v>
      </c>
      <c r="C31" s="703">
        <v>1</v>
      </c>
      <c r="D31" s="703">
        <v>1</v>
      </c>
      <c r="E31" s="703">
        <v>47000</v>
      </c>
    </row>
    <row r="32" spans="1:5" ht="31.5" customHeight="1">
      <c r="A32" s="715"/>
      <c r="B32" s="15" t="s">
        <v>731</v>
      </c>
      <c r="C32" s="715">
        <v>1</v>
      </c>
      <c r="D32" s="715">
        <v>1</v>
      </c>
      <c r="E32" s="715">
        <v>3000</v>
      </c>
    </row>
    <row r="33" spans="1:5">
      <c r="A33" s="13"/>
      <c r="B33" s="12" t="s">
        <v>240</v>
      </c>
      <c r="C33" s="3" t="s">
        <v>241</v>
      </c>
      <c r="D33" s="3" t="s">
        <v>241</v>
      </c>
      <c r="E33" s="3">
        <f>E27+E24+E12</f>
        <v>167000</v>
      </c>
    </row>
    <row r="35" spans="1:5" ht="18" customHeight="1">
      <c r="A35" s="927"/>
      <c r="B35" s="927"/>
      <c r="C35" s="927"/>
      <c r="D35" s="4"/>
      <c r="E35" s="4"/>
    </row>
  </sheetData>
  <mergeCells count="5">
    <mergeCell ref="A35:C35"/>
    <mergeCell ref="A2:E2"/>
    <mergeCell ref="A4:E4"/>
    <mergeCell ref="A6:E6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E20"/>
  <sheetViews>
    <sheetView topLeftCell="A7" workbookViewId="0">
      <selection activeCell="E15" sqref="E15"/>
    </sheetView>
  </sheetViews>
  <sheetFormatPr defaultColWidth="9.109375" defaultRowHeight="14.4"/>
  <cols>
    <col min="1" max="1" width="6.33203125" style="1" customWidth="1"/>
    <col min="2" max="2" width="49.44140625" style="1" customWidth="1"/>
    <col min="3" max="3" width="19.5546875" style="1" customWidth="1"/>
    <col min="4" max="4" width="18.88671875" style="1" customWidth="1"/>
    <col min="5" max="16384" width="9.109375" style="1"/>
  </cols>
  <sheetData>
    <row r="2" spans="1:5" ht="15" customHeight="1">
      <c r="A2" s="920" t="s">
        <v>321</v>
      </c>
      <c r="B2" s="920"/>
      <c r="C2" s="920"/>
      <c r="D2" s="920"/>
      <c r="E2" s="10"/>
    </row>
    <row r="3" spans="1:5" ht="15" customHeight="1">
      <c r="A3" s="11"/>
      <c r="B3" s="11"/>
      <c r="C3" s="11"/>
      <c r="D3" s="11"/>
    </row>
    <row r="4" spans="1:5" ht="15" customHeight="1">
      <c r="A4" s="920" t="s">
        <v>718</v>
      </c>
      <c r="B4" s="920"/>
      <c r="C4" s="920"/>
      <c r="D4" s="920"/>
      <c r="E4" s="10"/>
    </row>
    <row r="6" spans="1:5" ht="15" customHeight="1">
      <c r="A6" s="928" t="s">
        <v>716</v>
      </c>
      <c r="B6" s="928"/>
      <c r="C6" s="928"/>
      <c r="D6" s="928"/>
      <c r="E6" s="10"/>
    </row>
    <row r="8" spans="1:5" ht="15" customHeight="1">
      <c r="A8" s="920" t="s">
        <v>732</v>
      </c>
      <c r="B8" s="920"/>
      <c r="C8" s="920"/>
      <c r="D8" s="920"/>
      <c r="E8" s="10"/>
    </row>
    <row r="10" spans="1:5" ht="56.25" customHeight="1">
      <c r="A10" s="2" t="s">
        <v>228</v>
      </c>
      <c r="B10" s="2" t="s">
        <v>248</v>
      </c>
      <c r="C10" s="2" t="s">
        <v>359</v>
      </c>
      <c r="D10" s="2" t="s">
        <v>360</v>
      </c>
    </row>
    <row r="11" spans="1:5">
      <c r="A11" s="2">
        <v>1</v>
      </c>
      <c r="B11" s="2">
        <v>2</v>
      </c>
      <c r="C11" s="2">
        <v>3</v>
      </c>
      <c r="D11" s="2">
        <v>4</v>
      </c>
    </row>
    <row r="12" spans="1:5">
      <c r="A12" s="2"/>
      <c r="B12" s="15" t="s">
        <v>733</v>
      </c>
      <c r="C12" s="2" t="s">
        <v>241</v>
      </c>
      <c r="D12" s="17">
        <v>26000</v>
      </c>
    </row>
    <row r="13" spans="1:5">
      <c r="A13" s="716"/>
      <c r="B13" s="15" t="s">
        <v>736</v>
      </c>
      <c r="C13" s="716">
        <v>1</v>
      </c>
      <c r="D13" s="17">
        <v>3000</v>
      </c>
    </row>
    <row r="14" spans="1:5" ht="32.25" customHeight="1">
      <c r="A14" s="2"/>
      <c r="B14" s="15" t="s">
        <v>363</v>
      </c>
      <c r="C14" s="2" t="s">
        <v>241</v>
      </c>
      <c r="D14" s="17">
        <f>D16+D17</f>
        <v>18000</v>
      </c>
    </row>
    <row r="15" spans="1:5" ht="36" customHeight="1">
      <c r="A15" s="2"/>
      <c r="B15" s="717" t="s">
        <v>364</v>
      </c>
      <c r="C15" s="2"/>
      <c r="D15" s="17"/>
    </row>
    <row r="16" spans="1:5" ht="43.2">
      <c r="A16" s="2"/>
      <c r="B16" s="15" t="s">
        <v>735</v>
      </c>
      <c r="C16" s="2"/>
      <c r="D16" s="17">
        <v>10000</v>
      </c>
    </row>
    <row r="17" spans="1:4" ht="43.2">
      <c r="A17" s="2"/>
      <c r="B17" s="15" t="s">
        <v>734</v>
      </c>
      <c r="C17" s="2">
        <v>1</v>
      </c>
      <c r="D17" s="17">
        <v>8000</v>
      </c>
    </row>
    <row r="18" spans="1:4">
      <c r="A18" s="13"/>
      <c r="B18" s="12" t="s">
        <v>240</v>
      </c>
      <c r="C18" s="3" t="s">
        <v>241</v>
      </c>
      <c r="D18" s="16">
        <f>D12+D13+D14</f>
        <v>47000</v>
      </c>
    </row>
    <row r="20" spans="1:4" ht="18" customHeight="1">
      <c r="A20" s="927"/>
      <c r="B20" s="927"/>
      <c r="C20" s="927"/>
      <c r="D20" s="4"/>
    </row>
  </sheetData>
  <mergeCells count="5">
    <mergeCell ref="A20:C20"/>
    <mergeCell ref="A2:D2"/>
    <mergeCell ref="A4:D4"/>
    <mergeCell ref="A6:D6"/>
    <mergeCell ref="A8:D8"/>
  </mergeCells>
  <phoneticPr fontId="2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3"/>
  <sheetViews>
    <sheetView tabSelected="1" workbookViewId="0">
      <selection activeCell="M86" sqref="M86"/>
    </sheetView>
  </sheetViews>
  <sheetFormatPr defaultRowHeight="14.4"/>
  <cols>
    <col min="5" max="5" width="5.88671875" customWidth="1"/>
    <col min="6" max="6" width="5" customWidth="1"/>
    <col min="7" max="7" width="9.109375" hidden="1" customWidth="1"/>
    <col min="8" max="8" width="9.5546875" bestFit="1" customWidth="1"/>
    <col min="9" max="9" width="9.44140625" customWidth="1"/>
    <col min="10" max="10" width="10.44140625" customWidth="1"/>
    <col min="11" max="11" width="2.33203125" customWidth="1"/>
    <col min="12" max="13" width="10.109375" customWidth="1"/>
    <col min="14" max="14" width="11.109375" customWidth="1"/>
    <col min="15" max="15" width="3.109375" customWidth="1"/>
    <col min="16" max="16" width="8.6640625" customWidth="1"/>
    <col min="17" max="17" width="12.109375" customWidth="1"/>
    <col min="18" max="18" width="8.44140625" customWidth="1"/>
    <col min="19" max="19" width="9.109375" hidden="1" customWidth="1"/>
    <col min="20" max="20" width="5.6640625" customWidth="1"/>
    <col min="21" max="21" width="2.6640625" customWidth="1"/>
    <col min="22" max="22" width="7.5546875" customWidth="1"/>
    <col min="23" max="23" width="3.6640625" customWidth="1"/>
    <col min="24" max="24" width="10" customWidth="1"/>
    <col min="25" max="25" width="8.88671875" customWidth="1"/>
    <col min="27" max="27" width="0.44140625" customWidth="1"/>
    <col min="28" max="28" width="3.6640625" customWidth="1"/>
    <col min="29" max="29" width="4.6640625" customWidth="1"/>
    <col min="30" max="30" width="7" customWidth="1"/>
    <col min="31" max="31" width="2.5546875" customWidth="1"/>
  </cols>
  <sheetData>
    <row r="1" spans="1:12" ht="1.5" customHeight="1">
      <c r="A1" s="459"/>
      <c r="B1" s="459"/>
      <c r="C1" s="726"/>
      <c r="D1" s="726"/>
      <c r="E1" s="460"/>
      <c r="F1" s="727"/>
      <c r="G1" s="727"/>
      <c r="H1" s="728"/>
      <c r="I1" s="728"/>
      <c r="J1" s="728"/>
      <c r="K1" s="728"/>
      <c r="L1" s="728"/>
    </row>
    <row r="2" spans="1:12" hidden="1">
      <c r="A2" s="459"/>
      <c r="B2" s="459"/>
      <c r="C2" s="726"/>
      <c r="D2" s="726"/>
      <c r="E2" s="460"/>
      <c r="F2" s="727"/>
      <c r="G2" s="727"/>
      <c r="H2" s="728"/>
      <c r="I2" s="728"/>
      <c r="J2" s="728"/>
      <c r="K2" s="728"/>
      <c r="L2" s="728"/>
    </row>
    <row r="3" spans="1:12">
      <c r="A3" s="727" t="s">
        <v>757</v>
      </c>
      <c r="B3" s="727"/>
      <c r="C3" s="726"/>
      <c r="D3" s="726"/>
      <c r="E3" s="460"/>
      <c r="F3" s="727"/>
      <c r="G3" s="727"/>
      <c r="H3" s="727" t="s">
        <v>114</v>
      </c>
      <c r="I3" s="727"/>
      <c r="J3" s="727"/>
      <c r="K3" s="727"/>
      <c r="L3" s="727"/>
    </row>
    <row r="4" spans="1:12">
      <c r="A4" s="459"/>
      <c r="B4" s="459"/>
      <c r="C4" s="726"/>
      <c r="D4" s="726"/>
      <c r="E4" s="460"/>
      <c r="F4" s="727"/>
      <c r="G4" s="727"/>
      <c r="H4" s="734" t="s">
        <v>115</v>
      </c>
      <c r="I4" s="734"/>
      <c r="J4" s="734"/>
      <c r="K4" s="734"/>
      <c r="L4" s="734"/>
    </row>
    <row r="5" spans="1:12" ht="15" thickBot="1">
      <c r="A5" s="459"/>
      <c r="B5" s="459"/>
      <c r="C5" s="726"/>
      <c r="D5" s="726"/>
      <c r="E5" s="460"/>
      <c r="F5" s="727"/>
      <c r="G5" s="727"/>
      <c r="H5" s="462"/>
      <c r="I5" s="732" t="s">
        <v>700</v>
      </c>
      <c r="J5" s="732"/>
      <c r="K5" s="732"/>
      <c r="L5" s="732"/>
    </row>
    <row r="6" spans="1:12">
      <c r="A6" s="459"/>
      <c r="B6" s="459"/>
      <c r="C6" s="726"/>
      <c r="D6" s="726"/>
      <c r="E6" s="460"/>
      <c r="F6" s="727"/>
      <c r="G6" s="727"/>
      <c r="H6" s="461" t="s">
        <v>116</v>
      </c>
      <c r="I6" s="731" t="s">
        <v>117</v>
      </c>
      <c r="J6" s="731"/>
      <c r="K6" s="731"/>
      <c r="L6" s="731"/>
    </row>
    <row r="7" spans="1:12">
      <c r="A7" s="726"/>
      <c r="B7" s="726"/>
      <c r="C7" s="726"/>
      <c r="D7" s="726"/>
      <c r="E7" s="460"/>
      <c r="F7" s="727"/>
      <c r="G7" s="727"/>
      <c r="H7" s="728" t="s">
        <v>758</v>
      </c>
      <c r="I7" s="729"/>
      <c r="J7" s="729"/>
      <c r="K7" s="729"/>
      <c r="L7" s="729"/>
    </row>
    <row r="8" spans="1:12" hidden="1">
      <c r="A8" s="726"/>
      <c r="B8" s="726"/>
      <c r="C8" s="726"/>
      <c r="D8" s="726"/>
      <c r="E8" s="460"/>
      <c r="F8" s="727"/>
      <c r="G8" s="727"/>
      <c r="H8" s="728" t="s">
        <v>118</v>
      </c>
      <c r="I8" s="729"/>
      <c r="J8" s="729"/>
      <c r="K8" s="729"/>
      <c r="L8" s="729"/>
    </row>
    <row r="9" spans="1:12" ht="3" customHeight="1">
      <c r="A9" s="726"/>
      <c r="B9" s="726"/>
      <c r="C9" s="726"/>
      <c r="D9" s="726"/>
      <c r="E9" s="460"/>
      <c r="F9" s="727"/>
      <c r="G9" s="727"/>
      <c r="H9" s="461"/>
      <c r="I9" s="461"/>
      <c r="J9" s="461"/>
      <c r="K9" s="461"/>
      <c r="L9" s="461"/>
    </row>
    <row r="10" spans="1:12" hidden="1">
      <c r="A10" s="726"/>
      <c r="B10" s="726"/>
      <c r="C10" s="726"/>
      <c r="D10" s="726"/>
      <c r="E10" s="460"/>
      <c r="F10" s="727"/>
      <c r="G10" s="727"/>
      <c r="H10" s="461"/>
      <c r="I10" s="461"/>
      <c r="J10" s="461"/>
      <c r="K10" s="461"/>
      <c r="L10" s="461"/>
    </row>
    <row r="11" spans="1:12" ht="17.399999999999999">
      <c r="A11" s="730" t="s">
        <v>119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</row>
    <row r="12" spans="1:12" ht="17.399999999999999">
      <c r="A12" s="730" t="s">
        <v>759</v>
      </c>
      <c r="B12" s="730"/>
      <c r="C12" s="730"/>
      <c r="D12" s="730"/>
      <c r="E12" s="730"/>
      <c r="F12" s="730"/>
      <c r="G12" s="730"/>
      <c r="H12" s="730"/>
      <c r="I12" s="730"/>
      <c r="J12" s="730"/>
      <c r="K12" s="730"/>
      <c r="L12" s="730"/>
    </row>
    <row r="13" spans="1:12" ht="12.75" customHeight="1" thickBot="1">
      <c r="A13" s="463"/>
      <c r="B13" s="463"/>
      <c r="C13" s="730"/>
      <c r="D13" s="730"/>
      <c r="E13" s="463"/>
      <c r="F13" s="730"/>
      <c r="G13" s="730"/>
      <c r="H13" s="463"/>
      <c r="I13" s="733"/>
      <c r="J13" s="733"/>
      <c r="K13" s="733"/>
      <c r="L13" s="464" t="s">
        <v>120</v>
      </c>
    </row>
    <row r="14" spans="1:12" ht="18" thickBot="1">
      <c r="A14" s="463"/>
      <c r="B14" s="463"/>
      <c r="C14" s="730"/>
      <c r="D14" s="730"/>
      <c r="E14" s="463"/>
      <c r="F14" s="730"/>
      <c r="G14" s="730"/>
      <c r="H14" s="463"/>
      <c r="I14" s="738" t="s">
        <v>121</v>
      </c>
      <c r="J14" s="738"/>
      <c r="K14" s="739"/>
      <c r="L14" s="465"/>
    </row>
    <row r="15" spans="1:12">
      <c r="A15" s="733" t="s">
        <v>760</v>
      </c>
      <c r="B15" s="733"/>
      <c r="C15" s="733"/>
      <c r="D15" s="733"/>
      <c r="E15" s="733"/>
      <c r="F15" s="733"/>
      <c r="G15" s="733"/>
      <c r="H15" s="733"/>
      <c r="I15" s="738" t="s">
        <v>122</v>
      </c>
      <c r="J15" s="738"/>
      <c r="K15" s="739"/>
      <c r="L15" s="744">
        <v>43101</v>
      </c>
    </row>
    <row r="16" spans="1:12" ht="15" thickBot="1">
      <c r="A16" s="740"/>
      <c r="B16" s="740"/>
      <c r="C16" s="740"/>
      <c r="D16" s="740"/>
      <c r="E16" s="740"/>
      <c r="F16" s="740"/>
      <c r="G16" s="740"/>
      <c r="H16" s="740"/>
      <c r="I16" s="738"/>
      <c r="J16" s="738"/>
      <c r="K16" s="739"/>
      <c r="L16" s="745"/>
    </row>
    <row r="17" spans="1:12">
      <c r="A17" s="746" t="s">
        <v>123</v>
      </c>
      <c r="B17" s="747"/>
      <c r="C17" s="747"/>
      <c r="D17" s="747" t="s">
        <v>743</v>
      </c>
      <c r="E17" s="747"/>
      <c r="F17" s="747"/>
      <c r="G17" s="747"/>
      <c r="H17" s="752"/>
      <c r="I17" s="755" t="s">
        <v>124</v>
      </c>
      <c r="J17" s="738"/>
      <c r="K17" s="739"/>
      <c r="L17" s="756">
        <v>53072152</v>
      </c>
    </row>
    <row r="18" spans="1:12" ht="15" thickBot="1">
      <c r="A18" s="748"/>
      <c r="B18" s="749"/>
      <c r="C18" s="749"/>
      <c r="D18" s="726"/>
      <c r="E18" s="726"/>
      <c r="F18" s="726"/>
      <c r="G18" s="726"/>
      <c r="H18" s="753"/>
      <c r="I18" s="755"/>
      <c r="J18" s="738"/>
      <c r="K18" s="739"/>
      <c r="L18" s="745"/>
    </row>
    <row r="19" spans="1:12" ht="15" thickBot="1">
      <c r="A19" s="748"/>
      <c r="B19" s="749"/>
      <c r="C19" s="749"/>
      <c r="D19" s="726"/>
      <c r="E19" s="726"/>
      <c r="F19" s="726"/>
      <c r="G19" s="726"/>
      <c r="H19" s="753"/>
      <c r="I19" s="748"/>
      <c r="J19" s="726"/>
      <c r="K19" s="753"/>
      <c r="L19" s="467"/>
    </row>
    <row r="20" spans="1:12" ht="15" thickBot="1">
      <c r="A20" s="748"/>
      <c r="B20" s="749"/>
      <c r="C20" s="749"/>
      <c r="D20" s="726"/>
      <c r="E20" s="726"/>
      <c r="F20" s="726"/>
      <c r="G20" s="726"/>
      <c r="H20" s="753"/>
      <c r="I20" s="748"/>
      <c r="J20" s="726"/>
      <c r="K20" s="753"/>
      <c r="L20" s="467"/>
    </row>
    <row r="21" spans="1:12" ht="15" thickBot="1">
      <c r="A21" s="750"/>
      <c r="B21" s="751"/>
      <c r="C21" s="751"/>
      <c r="D21" s="751"/>
      <c r="E21" s="751"/>
      <c r="F21" s="751"/>
      <c r="G21" s="751"/>
      <c r="H21" s="754"/>
      <c r="I21" s="755"/>
      <c r="J21" s="738"/>
      <c r="K21" s="739"/>
      <c r="L21" s="468"/>
    </row>
    <row r="22" spans="1:12" ht="15" thickBot="1">
      <c r="A22" s="735" t="s">
        <v>741</v>
      </c>
      <c r="B22" s="736"/>
      <c r="C22" s="736"/>
      <c r="D22" s="736"/>
      <c r="E22" s="736"/>
      <c r="F22" s="736"/>
      <c r="G22" s="736"/>
      <c r="H22" s="737"/>
      <c r="I22" s="741"/>
      <c r="J22" s="742"/>
      <c r="K22" s="743"/>
      <c r="L22" s="470"/>
    </row>
    <row r="23" spans="1:12" ht="15" thickBot="1">
      <c r="A23" s="735" t="s">
        <v>125</v>
      </c>
      <c r="B23" s="736"/>
      <c r="C23" s="736"/>
      <c r="D23" s="736"/>
      <c r="E23" s="736"/>
      <c r="F23" s="736"/>
      <c r="G23" s="736"/>
      <c r="H23" s="737"/>
      <c r="I23" s="757" t="s">
        <v>126</v>
      </c>
      <c r="J23" s="758"/>
      <c r="K23" s="759"/>
      <c r="L23" s="470">
        <v>383</v>
      </c>
    </row>
    <row r="24" spans="1:12" ht="15" thickBot="1">
      <c r="A24" s="735" t="s">
        <v>127</v>
      </c>
      <c r="B24" s="736"/>
      <c r="C24" s="736"/>
      <c r="D24" s="760"/>
      <c r="E24" s="760"/>
      <c r="F24" s="760"/>
      <c r="G24" s="760"/>
      <c r="H24" s="760"/>
      <c r="I24" s="760"/>
      <c r="J24" s="760"/>
      <c r="K24" s="760"/>
      <c r="L24" s="761"/>
    </row>
    <row r="25" spans="1:12" ht="15" thickBot="1">
      <c r="A25" s="735" t="s">
        <v>128</v>
      </c>
      <c r="B25" s="736"/>
      <c r="C25" s="736"/>
      <c r="D25" s="736" t="s">
        <v>742</v>
      </c>
      <c r="E25" s="736"/>
      <c r="F25" s="736"/>
      <c r="G25" s="736"/>
      <c r="H25" s="736"/>
      <c r="I25" s="736"/>
      <c r="J25" s="736"/>
      <c r="K25" s="736"/>
      <c r="L25" s="737"/>
    </row>
    <row r="26" spans="1:12" hidden="1">
      <c r="A26" s="768"/>
      <c r="B26" s="768"/>
      <c r="C26" s="768"/>
      <c r="D26" s="768"/>
      <c r="E26" s="768"/>
      <c r="F26" s="768"/>
      <c r="G26" s="768"/>
      <c r="H26" s="768"/>
      <c r="I26" s="768"/>
      <c r="J26" s="768"/>
      <c r="K26" s="768"/>
      <c r="L26" s="768"/>
    </row>
    <row r="27" spans="1:12">
      <c r="A27" s="733" t="s">
        <v>691</v>
      </c>
      <c r="B27" s="733"/>
      <c r="C27" s="733"/>
      <c r="D27" s="733"/>
      <c r="E27" s="733"/>
      <c r="F27" s="733"/>
      <c r="G27" s="733"/>
      <c r="H27" s="733"/>
      <c r="I27" s="733"/>
      <c r="J27" s="733"/>
      <c r="K27" s="733"/>
      <c r="L27" s="733"/>
    </row>
    <row r="28" spans="1:12" ht="3.75" customHeight="1" thickBot="1">
      <c r="A28" s="740"/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</row>
    <row r="29" spans="1:12">
      <c r="A29" s="769" t="s">
        <v>129</v>
      </c>
      <c r="B29" s="770"/>
      <c r="C29" s="770"/>
      <c r="D29" s="770"/>
      <c r="E29" s="770"/>
      <c r="F29" s="770"/>
      <c r="G29" s="770"/>
      <c r="H29" s="771"/>
      <c r="I29" s="772"/>
      <c r="J29" s="773"/>
      <c r="K29" s="773"/>
      <c r="L29" s="774"/>
    </row>
    <row r="30" spans="1:12" ht="15" thickBot="1">
      <c r="A30" s="778" t="s">
        <v>130</v>
      </c>
      <c r="B30" s="779"/>
      <c r="C30" s="779"/>
      <c r="D30" s="779"/>
      <c r="E30" s="779"/>
      <c r="F30" s="779"/>
      <c r="G30" s="779"/>
      <c r="H30" s="780"/>
      <c r="I30" s="775"/>
      <c r="J30" s="776"/>
      <c r="K30" s="776"/>
      <c r="L30" s="777"/>
    </row>
    <row r="31" spans="1:12" ht="15" thickBot="1">
      <c r="A31" s="762" t="s">
        <v>131</v>
      </c>
      <c r="B31" s="763"/>
      <c r="C31" s="763"/>
      <c r="D31" s="763"/>
      <c r="E31" s="763"/>
      <c r="F31" s="763"/>
      <c r="G31" s="763"/>
      <c r="H31" s="764"/>
      <c r="I31" s="781">
        <v>2124202042688</v>
      </c>
      <c r="J31" s="782"/>
      <c r="K31" s="782"/>
      <c r="L31" s="783"/>
    </row>
    <row r="32" spans="1:12" ht="15" thickBot="1">
      <c r="A32" s="762" t="s">
        <v>132</v>
      </c>
      <c r="B32" s="763"/>
      <c r="C32" s="763"/>
      <c r="D32" s="763"/>
      <c r="E32" s="763"/>
      <c r="F32" s="763"/>
      <c r="G32" s="763"/>
      <c r="H32" s="764"/>
      <c r="I32" s="765">
        <v>41253</v>
      </c>
      <c r="J32" s="766"/>
      <c r="K32" s="766"/>
      <c r="L32" s="767"/>
    </row>
    <row r="33" spans="1:12" ht="15" thickBot="1">
      <c r="A33" s="735" t="s">
        <v>688</v>
      </c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7"/>
    </row>
    <row r="34" spans="1:12" ht="17.25" customHeight="1" thickBot="1">
      <c r="A34" s="735" t="s">
        <v>701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7"/>
    </row>
    <row r="35" spans="1:12" ht="15" thickBot="1">
      <c r="A35" s="735" t="s">
        <v>689</v>
      </c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7"/>
    </row>
    <row r="36" spans="1:12" ht="16.5" customHeight="1" thickBot="1">
      <c r="A36" s="735" t="s">
        <v>701</v>
      </c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7"/>
    </row>
    <row r="37" spans="1:12">
      <c r="A37" s="784" t="s">
        <v>133</v>
      </c>
      <c r="B37" s="785"/>
      <c r="C37" s="785"/>
      <c r="D37" s="785"/>
      <c r="E37" s="785"/>
      <c r="F37" s="785"/>
      <c r="G37" s="785"/>
      <c r="H37" s="786"/>
      <c r="I37" s="746"/>
      <c r="J37" s="747"/>
      <c r="K37" s="747"/>
      <c r="L37" s="752"/>
    </row>
    <row r="38" spans="1:12" ht="15" thickBot="1">
      <c r="A38" s="787"/>
      <c r="B38" s="788"/>
      <c r="C38" s="788"/>
      <c r="D38" s="788"/>
      <c r="E38" s="788"/>
      <c r="F38" s="788"/>
      <c r="G38" s="788"/>
      <c r="H38" s="789"/>
      <c r="I38" s="750"/>
      <c r="J38" s="751"/>
      <c r="K38" s="751"/>
      <c r="L38" s="754"/>
    </row>
    <row r="39" spans="1:12">
      <c r="A39" s="784" t="s">
        <v>134</v>
      </c>
      <c r="B39" s="785"/>
      <c r="C39" s="785"/>
      <c r="D39" s="785"/>
      <c r="E39" s="785"/>
      <c r="F39" s="785"/>
      <c r="G39" s="785"/>
      <c r="H39" s="786"/>
      <c r="I39" s="746" t="s">
        <v>739</v>
      </c>
      <c r="J39" s="747"/>
      <c r="K39" s="747"/>
      <c r="L39" s="752"/>
    </row>
    <row r="40" spans="1:12" ht="15" thickBot="1">
      <c r="A40" s="787"/>
      <c r="B40" s="788"/>
      <c r="C40" s="788"/>
      <c r="D40" s="788"/>
      <c r="E40" s="788"/>
      <c r="F40" s="788"/>
      <c r="G40" s="788"/>
      <c r="H40" s="789"/>
      <c r="I40" s="750"/>
      <c r="J40" s="751"/>
      <c r="K40" s="751"/>
      <c r="L40" s="754"/>
    </row>
    <row r="41" spans="1:12">
      <c r="A41" s="784" t="s">
        <v>135</v>
      </c>
      <c r="B41" s="785"/>
      <c r="C41" s="785"/>
      <c r="D41" s="785"/>
      <c r="E41" s="785"/>
      <c r="F41" s="785"/>
      <c r="G41" s="785"/>
      <c r="H41" s="786"/>
      <c r="I41" s="746"/>
      <c r="J41" s="747"/>
      <c r="K41" s="747"/>
      <c r="L41" s="752"/>
    </row>
    <row r="42" spans="1:12" ht="15" thickBot="1">
      <c r="A42" s="787"/>
      <c r="B42" s="788"/>
      <c r="C42" s="788"/>
      <c r="D42" s="788"/>
      <c r="E42" s="788"/>
      <c r="F42" s="788"/>
      <c r="G42" s="788"/>
      <c r="H42" s="789"/>
      <c r="I42" s="750"/>
      <c r="J42" s="751"/>
      <c r="K42" s="751"/>
      <c r="L42" s="754"/>
    </row>
    <row r="43" spans="1:12" ht="15" thickBot="1">
      <c r="A43" s="762" t="s">
        <v>136</v>
      </c>
      <c r="B43" s="763"/>
      <c r="C43" s="763"/>
      <c r="D43" s="763"/>
      <c r="E43" s="763"/>
      <c r="F43" s="763"/>
      <c r="G43" s="763"/>
      <c r="H43" s="764"/>
      <c r="I43" s="790">
        <v>40252</v>
      </c>
      <c r="J43" s="736"/>
      <c r="K43" s="736"/>
      <c r="L43" s="737"/>
    </row>
    <row r="44" spans="1:12" ht="15" thickBot="1">
      <c r="A44" s="762" t="s">
        <v>137</v>
      </c>
      <c r="B44" s="763"/>
      <c r="C44" s="763"/>
      <c r="D44" s="763"/>
      <c r="E44" s="763"/>
      <c r="F44" s="763"/>
      <c r="G44" s="763"/>
      <c r="H44" s="764"/>
      <c r="I44" s="800">
        <v>7</v>
      </c>
      <c r="J44" s="801"/>
      <c r="K44" s="801"/>
      <c r="L44" s="802"/>
    </row>
    <row r="45" spans="1:12">
      <c r="A45" s="784" t="s">
        <v>138</v>
      </c>
      <c r="B45" s="785"/>
      <c r="C45" s="785"/>
      <c r="D45" s="785"/>
      <c r="E45" s="785"/>
      <c r="F45" s="785"/>
      <c r="G45" s="785"/>
      <c r="H45" s="786"/>
      <c r="I45" s="746" t="s">
        <v>687</v>
      </c>
      <c r="J45" s="747"/>
      <c r="K45" s="747"/>
      <c r="L45" s="752"/>
    </row>
    <row r="46" spans="1:12" ht="15" thickBot="1">
      <c r="A46" s="787"/>
      <c r="B46" s="788"/>
      <c r="C46" s="788"/>
      <c r="D46" s="788"/>
      <c r="E46" s="788"/>
      <c r="F46" s="788"/>
      <c r="G46" s="788"/>
      <c r="H46" s="789"/>
      <c r="I46" s="750"/>
      <c r="J46" s="751"/>
      <c r="K46" s="751"/>
      <c r="L46" s="754"/>
    </row>
    <row r="47" spans="1:12">
      <c r="A47" s="784" t="s">
        <v>139</v>
      </c>
      <c r="B47" s="785"/>
      <c r="C47" s="785"/>
      <c r="D47" s="785"/>
      <c r="E47" s="785"/>
      <c r="F47" s="785"/>
      <c r="G47" s="785"/>
      <c r="H47" s="786"/>
      <c r="I47" s="746" t="s">
        <v>690</v>
      </c>
      <c r="J47" s="747"/>
      <c r="K47" s="747"/>
      <c r="L47" s="752"/>
    </row>
    <row r="48" spans="1:12" ht="15" thickBot="1">
      <c r="A48" s="787" t="s">
        <v>140</v>
      </c>
      <c r="B48" s="788"/>
      <c r="C48" s="788"/>
      <c r="D48" s="788"/>
      <c r="E48" s="788"/>
      <c r="F48" s="788"/>
      <c r="G48" s="788"/>
      <c r="H48" s="789"/>
      <c r="I48" s="750"/>
      <c r="J48" s="751"/>
      <c r="K48" s="751"/>
      <c r="L48" s="754"/>
    </row>
    <row r="49" spans="1:12" ht="3.75" customHeight="1" thickBot="1">
      <c r="A49" s="797" t="s">
        <v>141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</row>
    <row r="50" spans="1:12" ht="15" hidden="1" thickBot="1">
      <c r="A50" s="798"/>
      <c r="B50" s="798"/>
      <c r="C50" s="798"/>
      <c r="D50" s="798"/>
      <c r="E50" s="798"/>
      <c r="F50" s="799"/>
      <c r="G50" s="799"/>
      <c r="H50" s="799"/>
      <c r="I50" s="798"/>
      <c r="J50" s="798"/>
      <c r="K50" s="798"/>
      <c r="L50" s="798"/>
    </row>
    <row r="51" spans="1:12">
      <c r="A51" s="807" t="s">
        <v>292</v>
      </c>
      <c r="B51" s="808"/>
      <c r="C51" s="808"/>
      <c r="D51" s="809"/>
      <c r="E51" s="472"/>
      <c r="F51" s="813" t="s">
        <v>343</v>
      </c>
      <c r="G51" s="813"/>
      <c r="H51" s="815" t="s">
        <v>142</v>
      </c>
      <c r="I51" s="817" t="s">
        <v>143</v>
      </c>
      <c r="J51" s="817"/>
      <c r="K51" s="817"/>
      <c r="L51" s="818"/>
    </row>
    <row r="52" spans="1:12" ht="15" thickBot="1">
      <c r="A52" s="810"/>
      <c r="B52" s="811"/>
      <c r="C52" s="811"/>
      <c r="D52" s="812"/>
      <c r="E52" s="707"/>
      <c r="F52" s="814"/>
      <c r="G52" s="814"/>
      <c r="H52" s="816"/>
      <c r="I52" s="819" t="s">
        <v>144</v>
      </c>
      <c r="J52" s="819"/>
      <c r="K52" s="819"/>
      <c r="L52" s="820"/>
    </row>
    <row r="53" spans="1:12" ht="27.6" customHeight="1" thickBot="1">
      <c r="A53" s="791" t="s">
        <v>692</v>
      </c>
      <c r="B53" s="760"/>
      <c r="C53" s="760"/>
      <c r="D53" s="760"/>
      <c r="E53" s="709"/>
      <c r="F53" s="803"/>
      <c r="G53" s="803"/>
      <c r="H53" s="710"/>
      <c r="I53" s="795">
        <f>I54+I55</f>
        <v>4938000</v>
      </c>
      <c r="J53" s="795"/>
      <c r="K53" s="795"/>
      <c r="L53" s="796"/>
    </row>
    <row r="54" spans="1:12" ht="30.75" customHeight="1" thickBot="1">
      <c r="A54" s="791" t="s">
        <v>712</v>
      </c>
      <c r="B54" s="760"/>
      <c r="C54" s="760"/>
      <c r="D54" s="760"/>
      <c r="E54" s="709"/>
      <c r="F54" s="804">
        <v>40</v>
      </c>
      <c r="G54" s="804"/>
      <c r="H54" s="711">
        <f>I54/F54</f>
        <v>58150</v>
      </c>
      <c r="I54" s="795">
        <v>2326000</v>
      </c>
      <c r="J54" s="795"/>
      <c r="K54" s="795"/>
      <c r="L54" s="796"/>
    </row>
    <row r="55" spans="1:12" ht="15" thickBot="1">
      <c r="A55" s="791" t="s">
        <v>713</v>
      </c>
      <c r="B55" s="760"/>
      <c r="C55" s="760"/>
      <c r="D55" s="792"/>
      <c r="E55" s="708"/>
      <c r="F55" s="805">
        <v>40</v>
      </c>
      <c r="G55" s="805"/>
      <c r="H55" s="711">
        <f>I55/F55</f>
        <v>65300</v>
      </c>
      <c r="I55" s="740">
        <v>2612000</v>
      </c>
      <c r="J55" s="740"/>
      <c r="K55" s="740"/>
      <c r="L55" s="806"/>
    </row>
    <row r="56" spans="1:12" ht="15" thickBot="1">
      <c r="A56" s="791" t="s">
        <v>145</v>
      </c>
      <c r="B56" s="760"/>
      <c r="C56" s="760"/>
      <c r="D56" s="792"/>
      <c r="E56" s="473"/>
      <c r="F56" s="793"/>
      <c r="G56" s="777"/>
      <c r="H56" s="471"/>
      <c r="I56" s="794"/>
      <c r="J56" s="795"/>
      <c r="K56" s="795"/>
      <c r="L56" s="796"/>
    </row>
    <row r="57" spans="1:12" ht="15" thickBot="1">
      <c r="A57" s="791"/>
      <c r="B57" s="760"/>
      <c r="C57" s="760"/>
      <c r="D57" s="792"/>
      <c r="E57" s="473"/>
      <c r="F57" s="823"/>
      <c r="G57" s="767"/>
      <c r="H57" s="471"/>
      <c r="I57" s="794"/>
      <c r="J57" s="795"/>
      <c r="K57" s="795"/>
      <c r="L57" s="796"/>
    </row>
    <row r="58" spans="1:12" ht="15" thickBot="1">
      <c r="A58" s="791" t="s">
        <v>146</v>
      </c>
      <c r="B58" s="760"/>
      <c r="C58" s="760"/>
      <c r="D58" s="761"/>
      <c r="E58" s="473"/>
      <c r="F58" s="824"/>
      <c r="G58" s="767"/>
      <c r="H58" s="471"/>
      <c r="I58" s="794"/>
      <c r="J58" s="795"/>
      <c r="K58" s="795"/>
      <c r="L58" s="796"/>
    </row>
    <row r="59" spans="1:12" ht="15" thickBot="1">
      <c r="A59" s="791"/>
      <c r="B59" s="760"/>
      <c r="C59" s="760"/>
      <c r="D59" s="792"/>
      <c r="E59" s="473"/>
      <c r="F59" s="823"/>
      <c r="G59" s="767"/>
      <c r="H59" s="471"/>
      <c r="I59" s="794"/>
      <c r="J59" s="795"/>
      <c r="K59" s="795"/>
      <c r="L59" s="796"/>
    </row>
    <row r="60" spans="1:12" ht="15" thickBot="1">
      <c r="A60" s="791"/>
      <c r="B60" s="760"/>
      <c r="C60" s="760"/>
      <c r="D60" s="792"/>
      <c r="E60" s="473"/>
      <c r="F60" s="823"/>
      <c r="G60" s="767"/>
      <c r="H60" s="471"/>
      <c r="I60" s="794"/>
      <c r="J60" s="795"/>
      <c r="K60" s="795"/>
      <c r="L60" s="796"/>
    </row>
    <row r="61" spans="1:12" ht="15" hidden="1" thickBot="1">
      <c r="A61" s="791"/>
      <c r="B61" s="760"/>
      <c r="C61" s="760"/>
      <c r="D61" s="792"/>
      <c r="E61" s="473"/>
      <c r="F61" s="823"/>
      <c r="G61" s="767"/>
      <c r="H61" s="471"/>
      <c r="I61" s="794"/>
      <c r="J61" s="795"/>
      <c r="K61" s="795"/>
      <c r="L61" s="796"/>
    </row>
    <row r="62" spans="1:12" ht="11.25" customHeight="1">
      <c r="A62" s="768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</row>
    <row r="63" spans="1:12">
      <c r="A63" s="733" t="s">
        <v>686</v>
      </c>
      <c r="B63" s="733"/>
      <c r="C63" s="733"/>
      <c r="D63" s="733"/>
      <c r="E63" s="733"/>
      <c r="F63" s="733"/>
      <c r="G63" s="733"/>
      <c r="H63" s="733"/>
      <c r="I63" s="733"/>
      <c r="J63" s="733"/>
      <c r="K63" s="733"/>
      <c r="L63" s="733"/>
    </row>
    <row r="64" spans="1:12">
      <c r="A64" s="819" t="s">
        <v>761</v>
      </c>
      <c r="B64" s="819"/>
      <c r="C64" s="819"/>
      <c r="D64" s="819"/>
      <c r="E64" s="819"/>
      <c r="F64" s="819"/>
      <c r="G64" s="819"/>
      <c r="H64" s="819"/>
      <c r="I64" s="819"/>
      <c r="J64" s="819"/>
      <c r="K64" s="819"/>
      <c r="L64" s="819"/>
    </row>
    <row r="65" spans="1:12" ht="15" thickBot="1">
      <c r="A65" s="819" t="s">
        <v>147</v>
      </c>
      <c r="B65" s="819"/>
      <c r="C65" s="819"/>
      <c r="D65" s="819"/>
      <c r="E65" s="819"/>
      <c r="F65" s="819"/>
      <c r="G65" s="819"/>
      <c r="H65" s="819"/>
      <c r="I65" s="819"/>
      <c r="J65" s="819"/>
      <c r="K65" s="819"/>
      <c r="L65" s="819"/>
    </row>
    <row r="66" spans="1:12" ht="15" thickBot="1">
      <c r="A66" s="826" t="s">
        <v>292</v>
      </c>
      <c r="B66" s="827"/>
      <c r="C66" s="827"/>
      <c r="D66" s="827"/>
      <c r="E66" s="827"/>
      <c r="F66" s="828"/>
      <c r="G66" s="807" t="s">
        <v>148</v>
      </c>
      <c r="H66" s="808"/>
      <c r="I66" s="821"/>
      <c r="J66" s="822"/>
      <c r="K66" s="822"/>
      <c r="L66" s="822"/>
    </row>
    <row r="67" spans="1:12" ht="15" thickBot="1">
      <c r="A67" s="829">
        <v>1</v>
      </c>
      <c r="B67" s="830"/>
      <c r="C67" s="830"/>
      <c r="D67" s="830"/>
      <c r="E67" s="830"/>
      <c r="F67" s="830"/>
      <c r="G67" s="829">
        <v>2</v>
      </c>
      <c r="H67" s="830"/>
      <c r="I67" s="831"/>
      <c r="J67" s="819"/>
      <c r="K67" s="819"/>
      <c r="L67" s="819"/>
    </row>
    <row r="68" spans="1:12">
      <c r="A68" s="772" t="s">
        <v>149</v>
      </c>
      <c r="B68" s="773"/>
      <c r="C68" s="773"/>
      <c r="D68" s="773"/>
      <c r="E68" s="773"/>
      <c r="F68" s="773"/>
      <c r="G68" s="772">
        <f>G70+G71</f>
        <v>3742597.4499999997</v>
      </c>
      <c r="H68" s="773"/>
      <c r="I68" s="774"/>
      <c r="J68" s="819"/>
      <c r="K68" s="819"/>
      <c r="L68" s="819"/>
    </row>
    <row r="69" spans="1:12" ht="15" thickBot="1">
      <c r="A69" s="775"/>
      <c r="B69" s="776"/>
      <c r="C69" s="776"/>
      <c r="D69" s="776"/>
      <c r="E69" s="776"/>
      <c r="F69" s="776"/>
      <c r="G69" s="775"/>
      <c r="H69" s="776"/>
      <c r="I69" s="777"/>
      <c r="J69" s="819"/>
      <c r="K69" s="819"/>
      <c r="L69" s="819"/>
    </row>
    <row r="70" spans="1:12" ht="15" thickBot="1">
      <c r="A70" s="735" t="s">
        <v>706</v>
      </c>
      <c r="B70" s="736"/>
      <c r="C70" s="736"/>
      <c r="D70" s="736"/>
      <c r="E70" s="736"/>
      <c r="F70" s="736"/>
      <c r="G70" s="735">
        <v>3671621.01</v>
      </c>
      <c r="H70" s="736"/>
      <c r="I70" s="737"/>
      <c r="J70" s="819"/>
      <c r="K70" s="819"/>
      <c r="L70" s="819"/>
    </row>
    <row r="71" spans="1:12" ht="15" thickBot="1">
      <c r="A71" s="746" t="s">
        <v>705</v>
      </c>
      <c r="B71" s="747"/>
      <c r="C71" s="747"/>
      <c r="D71" s="747"/>
      <c r="E71" s="747"/>
      <c r="F71" s="747"/>
      <c r="G71" s="746">
        <v>70976.44</v>
      </c>
      <c r="H71" s="747"/>
      <c r="I71" s="752"/>
      <c r="J71" s="819"/>
      <c r="K71" s="819"/>
      <c r="L71" s="819"/>
    </row>
    <row r="72" spans="1:12" ht="15" thickBot="1">
      <c r="A72" s="735" t="s">
        <v>150</v>
      </c>
      <c r="B72" s="736"/>
      <c r="C72" s="736"/>
      <c r="D72" s="736"/>
      <c r="E72" s="736"/>
      <c r="F72" s="736"/>
      <c r="G72" s="735"/>
      <c r="H72" s="736"/>
      <c r="I72" s="737"/>
      <c r="J72" s="819"/>
      <c r="K72" s="819"/>
      <c r="L72" s="819"/>
    </row>
    <row r="73" spans="1:12" ht="15" thickBot="1">
      <c r="A73" s="746" t="s">
        <v>151</v>
      </c>
      <c r="B73" s="747"/>
      <c r="C73" s="747"/>
      <c r="D73" s="747"/>
      <c r="E73" s="747"/>
      <c r="F73" s="747"/>
      <c r="G73" s="746"/>
      <c r="H73" s="747"/>
      <c r="I73" s="752"/>
      <c r="J73" s="819"/>
      <c r="K73" s="819"/>
      <c r="L73" s="819"/>
    </row>
    <row r="74" spans="1:12" ht="15" thickBot="1">
      <c r="A74" s="735" t="s">
        <v>152</v>
      </c>
      <c r="B74" s="736"/>
      <c r="C74" s="736"/>
      <c r="D74" s="736"/>
      <c r="E74" s="736"/>
      <c r="F74" s="736"/>
      <c r="G74" s="735"/>
      <c r="H74" s="736"/>
      <c r="I74" s="737"/>
      <c r="J74" s="819"/>
      <c r="K74" s="819"/>
      <c r="L74" s="819"/>
    </row>
    <row r="75" spans="1:12" ht="15" thickBot="1">
      <c r="A75" s="746"/>
      <c r="B75" s="747"/>
      <c r="C75" s="747"/>
      <c r="D75" s="747"/>
      <c r="E75" s="747"/>
      <c r="F75" s="747"/>
      <c r="G75" s="746"/>
      <c r="H75" s="747"/>
      <c r="I75" s="752"/>
      <c r="J75" s="819"/>
      <c r="K75" s="819"/>
      <c r="L75" s="819"/>
    </row>
    <row r="76" spans="1:12" ht="15" thickBot="1">
      <c r="A76" s="735" t="s">
        <v>153</v>
      </c>
      <c r="B76" s="736"/>
      <c r="C76" s="736"/>
      <c r="D76" s="736"/>
      <c r="E76" s="736"/>
      <c r="F76" s="736"/>
      <c r="G76" s="735"/>
      <c r="H76" s="736"/>
      <c r="I76" s="737"/>
      <c r="J76" s="819"/>
      <c r="K76" s="819"/>
      <c r="L76" s="819"/>
    </row>
    <row r="77" spans="1:12" ht="15" thickBot="1">
      <c r="A77" s="746" t="s">
        <v>154</v>
      </c>
      <c r="B77" s="747"/>
      <c r="C77" s="747"/>
      <c r="D77" s="747"/>
      <c r="E77" s="747"/>
      <c r="F77" s="747"/>
      <c r="G77" s="746"/>
      <c r="H77" s="747"/>
      <c r="I77" s="752"/>
      <c r="J77" s="819"/>
      <c r="K77" s="819"/>
      <c r="L77" s="819"/>
    </row>
    <row r="78" spans="1:12" ht="15" thickBot="1">
      <c r="A78" s="735" t="s">
        <v>155</v>
      </c>
      <c r="B78" s="736"/>
      <c r="C78" s="736"/>
      <c r="D78" s="736"/>
      <c r="E78" s="736"/>
      <c r="F78" s="736"/>
      <c r="G78" s="824"/>
      <c r="H78" s="766"/>
      <c r="I78" s="767"/>
      <c r="J78" s="825"/>
      <c r="K78" s="825"/>
      <c r="L78" s="825"/>
    </row>
    <row r="79" spans="1:12" ht="15" thickBot="1">
      <c r="A79" s="735" t="s">
        <v>156</v>
      </c>
      <c r="B79" s="736"/>
      <c r="C79" s="736"/>
      <c r="D79" s="736"/>
      <c r="E79" s="736"/>
      <c r="F79" s="736"/>
      <c r="G79" s="735"/>
      <c r="H79" s="736"/>
      <c r="I79" s="737"/>
      <c r="J79" s="819"/>
      <c r="K79" s="819"/>
      <c r="L79" s="819"/>
    </row>
    <row r="80" spans="1:12" ht="15" thickBot="1">
      <c r="A80" s="746" t="s">
        <v>157</v>
      </c>
      <c r="B80" s="747"/>
      <c r="C80" s="747"/>
      <c r="D80" s="747"/>
      <c r="E80" s="747"/>
      <c r="F80" s="747"/>
      <c r="G80" s="746"/>
      <c r="H80" s="747"/>
      <c r="I80" s="752"/>
      <c r="J80" s="819"/>
      <c r="K80" s="819"/>
      <c r="L80" s="819"/>
    </row>
    <row r="81" spans="1:31">
      <c r="A81" s="746" t="s">
        <v>160</v>
      </c>
      <c r="B81" s="747"/>
      <c r="C81" s="747"/>
      <c r="D81" s="747"/>
      <c r="E81" s="747"/>
      <c r="F81" s="747"/>
      <c r="G81" s="746"/>
      <c r="H81" s="747"/>
      <c r="I81" s="752"/>
      <c r="J81" s="819"/>
      <c r="K81" s="819"/>
      <c r="L81" s="819"/>
    </row>
    <row r="82" spans="1:31" ht="15" thickBot="1">
      <c r="A82" s="748"/>
      <c r="B82" s="749"/>
      <c r="C82" s="749"/>
      <c r="D82" s="749"/>
      <c r="E82" s="749"/>
      <c r="F82" s="749"/>
      <c r="G82" s="748"/>
      <c r="H82" s="749"/>
      <c r="I82" s="753"/>
      <c r="J82" s="819"/>
      <c r="K82" s="819"/>
      <c r="L82" s="819"/>
    </row>
    <row r="83" spans="1:31" ht="15" thickBot="1">
      <c r="A83" s="746" t="s">
        <v>161</v>
      </c>
      <c r="B83" s="747"/>
      <c r="C83" s="747"/>
      <c r="D83" s="747"/>
      <c r="E83" s="747"/>
      <c r="F83" s="747"/>
      <c r="G83" s="746"/>
      <c r="H83" s="747"/>
      <c r="I83" s="752"/>
      <c r="J83" s="819"/>
      <c r="K83" s="819"/>
      <c r="L83" s="819"/>
    </row>
    <row r="84" spans="1:31" ht="15" thickBot="1">
      <c r="A84" s="735" t="s">
        <v>162</v>
      </c>
      <c r="B84" s="736"/>
      <c r="C84" s="736"/>
      <c r="D84" s="736"/>
      <c r="E84" s="736"/>
      <c r="F84" s="736"/>
      <c r="G84" s="735"/>
      <c r="H84" s="736"/>
      <c r="I84" s="737"/>
      <c r="J84" s="819"/>
      <c r="K84" s="819"/>
      <c r="L84" s="819"/>
    </row>
    <row r="85" spans="1:31" hidden="1">
      <c r="A85" s="733"/>
      <c r="B85" s="733"/>
      <c r="C85" s="733"/>
      <c r="D85" s="733"/>
      <c r="E85" s="733"/>
      <c r="F85" s="733"/>
      <c r="G85" s="733"/>
      <c r="H85" s="733"/>
      <c r="I85" s="733"/>
      <c r="J85" s="733"/>
      <c r="K85" s="733"/>
      <c r="L85" s="733"/>
    </row>
    <row r="86" spans="1:31">
      <c r="A86" s="733" t="s">
        <v>685</v>
      </c>
      <c r="B86" s="733"/>
      <c r="C86" s="733"/>
      <c r="D86" s="733"/>
      <c r="E86" s="733"/>
      <c r="F86" s="733"/>
      <c r="G86" s="733"/>
      <c r="H86" s="733"/>
      <c r="I86" s="733"/>
      <c r="J86" s="733"/>
      <c r="K86" s="733"/>
      <c r="L86" s="733"/>
    </row>
    <row r="87" spans="1:31">
      <c r="A87" s="733" t="s">
        <v>772</v>
      </c>
      <c r="B87" s="733"/>
      <c r="C87" s="733"/>
      <c r="D87" s="733"/>
      <c r="E87" s="733"/>
      <c r="F87" s="733"/>
      <c r="G87" s="733"/>
      <c r="H87" s="733"/>
      <c r="I87" s="733"/>
      <c r="J87" s="733"/>
      <c r="K87" s="733"/>
      <c r="L87" s="733"/>
    </row>
    <row r="88" spans="1:31" ht="2.25" customHeight="1" thickBot="1">
      <c r="A88" s="825"/>
      <c r="B88" s="825"/>
      <c r="C88" s="825"/>
      <c r="D88" s="825"/>
      <c r="E88" s="825"/>
      <c r="F88" s="825"/>
      <c r="G88" s="825"/>
      <c r="H88" s="825"/>
      <c r="I88" s="825"/>
      <c r="J88" s="825"/>
      <c r="K88" s="825"/>
      <c r="L88" s="825"/>
    </row>
    <row r="89" spans="1:31" ht="15" thickBot="1">
      <c r="A89" s="720" t="s">
        <v>292</v>
      </c>
      <c r="B89" s="720"/>
      <c r="C89" s="720"/>
      <c r="D89" s="720"/>
      <c r="E89" s="854" t="s">
        <v>163</v>
      </c>
      <c r="F89" s="856" t="s">
        <v>158</v>
      </c>
      <c r="G89" s="856"/>
      <c r="H89" s="829" t="s">
        <v>762</v>
      </c>
      <c r="I89" s="839"/>
      <c r="J89" s="839"/>
      <c r="K89" s="839"/>
      <c r="L89" s="839"/>
      <c r="M89" s="839"/>
      <c r="N89" s="839"/>
      <c r="O89" s="840"/>
      <c r="P89" s="829" t="s">
        <v>740</v>
      </c>
      <c r="Q89" s="839"/>
      <c r="R89" s="839"/>
      <c r="S89" s="839"/>
      <c r="T89" s="839"/>
      <c r="U89" s="839"/>
      <c r="V89" s="839"/>
      <c r="W89" s="840"/>
      <c r="X89" s="829" t="s">
        <v>763</v>
      </c>
      <c r="Y89" s="839"/>
      <c r="Z89" s="839"/>
      <c r="AA89" s="839"/>
      <c r="AB89" s="839"/>
      <c r="AC89" s="839"/>
      <c r="AD89" s="839"/>
      <c r="AE89" s="840"/>
    </row>
    <row r="90" spans="1:31" ht="15" thickBot="1">
      <c r="A90" s="720"/>
      <c r="B90" s="720"/>
      <c r="C90" s="720"/>
      <c r="D90" s="720"/>
      <c r="E90" s="855"/>
      <c r="F90" s="856"/>
      <c r="G90" s="829"/>
      <c r="H90" s="832" t="s">
        <v>109</v>
      </c>
      <c r="I90" s="841" t="s">
        <v>164</v>
      </c>
      <c r="J90" s="842"/>
      <c r="K90" s="842"/>
      <c r="L90" s="842"/>
      <c r="M90" s="842"/>
      <c r="N90" s="842"/>
      <c r="O90" s="843"/>
      <c r="P90" s="832" t="s">
        <v>109</v>
      </c>
      <c r="Q90" s="841" t="s">
        <v>164</v>
      </c>
      <c r="R90" s="842"/>
      <c r="S90" s="842"/>
      <c r="T90" s="842"/>
      <c r="U90" s="842"/>
      <c r="V90" s="842"/>
      <c r="W90" s="843"/>
      <c r="X90" s="832" t="s">
        <v>109</v>
      </c>
      <c r="Y90" s="841" t="s">
        <v>164</v>
      </c>
      <c r="Z90" s="842"/>
      <c r="AA90" s="842"/>
      <c r="AB90" s="842"/>
      <c r="AC90" s="842"/>
      <c r="AD90" s="842"/>
      <c r="AE90" s="843"/>
    </row>
    <row r="91" spans="1:31" ht="15" thickBot="1">
      <c r="A91" s="720"/>
      <c r="B91" s="720"/>
      <c r="C91" s="720"/>
      <c r="D91" s="720"/>
      <c r="E91" s="855"/>
      <c r="F91" s="856"/>
      <c r="G91" s="829"/>
      <c r="H91" s="833"/>
      <c r="I91" s="835" t="s">
        <v>165</v>
      </c>
      <c r="J91" s="851" t="s">
        <v>166</v>
      </c>
      <c r="K91" s="852"/>
      <c r="L91" s="837" t="s">
        <v>167</v>
      </c>
      <c r="M91" s="837" t="s">
        <v>168</v>
      </c>
      <c r="N91" s="846" t="s">
        <v>169</v>
      </c>
      <c r="O91" s="828"/>
      <c r="P91" s="833"/>
      <c r="Q91" s="835" t="s">
        <v>165</v>
      </c>
      <c r="R91" s="851" t="s">
        <v>166</v>
      </c>
      <c r="S91" s="852"/>
      <c r="T91" s="837" t="s">
        <v>167</v>
      </c>
      <c r="U91" s="837" t="s">
        <v>168</v>
      </c>
      <c r="V91" s="846" t="s">
        <v>169</v>
      </c>
      <c r="W91" s="828"/>
      <c r="X91" s="833"/>
      <c r="Y91" s="835" t="s">
        <v>165</v>
      </c>
      <c r="Z91" s="851" t="s">
        <v>166</v>
      </c>
      <c r="AA91" s="852"/>
      <c r="AB91" s="837" t="s">
        <v>167</v>
      </c>
      <c r="AC91" s="837" t="s">
        <v>168</v>
      </c>
      <c r="AD91" s="846" t="s">
        <v>169</v>
      </c>
      <c r="AE91" s="828"/>
    </row>
    <row r="92" spans="1:31" ht="15" thickBot="1">
      <c r="A92" s="854"/>
      <c r="B92" s="854"/>
      <c r="C92" s="854"/>
      <c r="D92" s="854"/>
      <c r="E92" s="855"/>
      <c r="F92" s="857"/>
      <c r="G92" s="858"/>
      <c r="H92" s="834"/>
      <c r="I92" s="836"/>
      <c r="J92" s="836"/>
      <c r="K92" s="853"/>
      <c r="L92" s="859"/>
      <c r="M92" s="838"/>
      <c r="N92" s="477" t="s">
        <v>231</v>
      </c>
      <c r="O92" s="477" t="s">
        <v>170</v>
      </c>
      <c r="P92" s="834"/>
      <c r="Q92" s="836"/>
      <c r="R92" s="836"/>
      <c r="S92" s="853"/>
      <c r="T92" s="859"/>
      <c r="U92" s="838"/>
      <c r="V92" s="477" t="s">
        <v>231</v>
      </c>
      <c r="W92" s="477" t="s">
        <v>170</v>
      </c>
      <c r="X92" s="834"/>
      <c r="Y92" s="836"/>
      <c r="Z92" s="836"/>
      <c r="AA92" s="853"/>
      <c r="AB92" s="859"/>
      <c r="AC92" s="838"/>
      <c r="AD92" s="477" t="s">
        <v>231</v>
      </c>
      <c r="AE92" s="477" t="s">
        <v>170</v>
      </c>
    </row>
    <row r="93" spans="1:31" ht="15" thickBot="1">
      <c r="A93" s="847">
        <v>1</v>
      </c>
      <c r="B93" s="848"/>
      <c r="C93" s="848"/>
      <c r="D93" s="849"/>
      <c r="E93" s="474">
        <v>2</v>
      </c>
      <c r="F93" s="829">
        <v>3</v>
      </c>
      <c r="G93" s="850"/>
      <c r="H93" s="478">
        <v>4</v>
      </c>
      <c r="I93" s="479">
        <v>5</v>
      </c>
      <c r="J93" s="844">
        <v>6</v>
      </c>
      <c r="K93" s="845"/>
      <c r="L93" s="479">
        <v>7</v>
      </c>
      <c r="M93" s="480">
        <v>8</v>
      </c>
      <c r="N93" s="481">
        <v>9</v>
      </c>
      <c r="O93" s="482">
        <v>10</v>
      </c>
      <c r="P93" s="478">
        <v>4</v>
      </c>
      <c r="Q93" s="479">
        <v>5</v>
      </c>
      <c r="R93" s="844">
        <v>6</v>
      </c>
      <c r="S93" s="845"/>
      <c r="T93" s="479">
        <v>7</v>
      </c>
      <c r="U93" s="480">
        <v>8</v>
      </c>
      <c r="V93" s="481">
        <v>9</v>
      </c>
      <c r="W93" s="482">
        <v>10</v>
      </c>
      <c r="X93" s="478">
        <v>4</v>
      </c>
      <c r="Y93" s="479">
        <v>5</v>
      </c>
      <c r="Z93" s="844">
        <v>6</v>
      </c>
      <c r="AA93" s="845"/>
      <c r="AB93" s="479">
        <v>7</v>
      </c>
      <c r="AC93" s="480">
        <v>8</v>
      </c>
      <c r="AD93" s="481">
        <v>9</v>
      </c>
      <c r="AE93" s="482">
        <v>10</v>
      </c>
    </row>
    <row r="94" spans="1:31" ht="18" thickBot="1">
      <c r="A94" s="861" t="s">
        <v>171</v>
      </c>
      <c r="B94" s="861"/>
      <c r="C94" s="861"/>
      <c r="D94" s="861"/>
      <c r="E94" s="483">
        <v>100</v>
      </c>
      <c r="F94" s="862" t="s">
        <v>241</v>
      </c>
      <c r="G94" s="862"/>
      <c r="H94" s="704">
        <f>I94+J94+N94</f>
        <v>5665000</v>
      </c>
      <c r="I94" s="488">
        <v>5025000</v>
      </c>
      <c r="J94" s="863">
        <v>101000</v>
      </c>
      <c r="K94" s="864"/>
      <c r="L94" s="484"/>
      <c r="M94" s="485"/>
      <c r="N94" s="481">
        <v>539000</v>
      </c>
      <c r="O94" s="482"/>
      <c r="P94" s="719">
        <f>Q94+R94+V94</f>
        <v>5665000</v>
      </c>
      <c r="Q94" s="718">
        <v>5025000</v>
      </c>
      <c r="R94" s="863">
        <v>101000</v>
      </c>
      <c r="S94" s="864"/>
      <c r="T94" s="484"/>
      <c r="U94" s="485"/>
      <c r="V94" s="481">
        <v>539000</v>
      </c>
      <c r="W94" s="482"/>
      <c r="X94" s="719">
        <f>Y94+Z94+AD94</f>
        <v>5665000</v>
      </c>
      <c r="Y94" s="718">
        <v>5025000</v>
      </c>
      <c r="Z94" s="863">
        <v>101000</v>
      </c>
      <c r="AA94" s="864"/>
      <c r="AB94" s="484"/>
      <c r="AC94" s="485"/>
      <c r="AD94" s="481">
        <v>539000</v>
      </c>
      <c r="AE94" s="482"/>
    </row>
    <row r="95" spans="1:31" ht="15" thickBot="1">
      <c r="A95" s="865" t="s">
        <v>172</v>
      </c>
      <c r="B95" s="865"/>
      <c r="C95" s="865"/>
      <c r="D95" s="865"/>
      <c r="E95" s="486">
        <v>110</v>
      </c>
      <c r="F95" s="720"/>
      <c r="G95" s="720"/>
      <c r="H95" s="487"/>
      <c r="I95" s="488" t="s">
        <v>241</v>
      </c>
      <c r="J95" s="860" t="s">
        <v>241</v>
      </c>
      <c r="K95" s="721"/>
      <c r="L95" s="489" t="s">
        <v>241</v>
      </c>
      <c r="M95" s="485" t="s">
        <v>241</v>
      </c>
      <c r="N95" s="481"/>
      <c r="O95" s="482" t="s">
        <v>241</v>
      </c>
      <c r="P95" s="719"/>
      <c r="Q95" s="718" t="s">
        <v>241</v>
      </c>
      <c r="R95" s="860" t="s">
        <v>241</v>
      </c>
      <c r="S95" s="721"/>
      <c r="T95" s="489" t="s">
        <v>241</v>
      </c>
      <c r="U95" s="485" t="s">
        <v>241</v>
      </c>
      <c r="V95" s="481"/>
      <c r="W95" s="482" t="s">
        <v>241</v>
      </c>
      <c r="X95" s="719"/>
      <c r="Y95" s="718" t="s">
        <v>241</v>
      </c>
      <c r="Z95" s="860" t="s">
        <v>241</v>
      </c>
      <c r="AA95" s="721"/>
      <c r="AB95" s="489" t="s">
        <v>241</v>
      </c>
      <c r="AC95" s="485" t="s">
        <v>241</v>
      </c>
      <c r="AD95" s="481"/>
      <c r="AE95" s="482" t="s">
        <v>241</v>
      </c>
    </row>
    <row r="96" spans="1:31" ht="15" thickBot="1">
      <c r="A96" s="866"/>
      <c r="B96" s="866"/>
      <c r="C96" s="866"/>
      <c r="D96" s="866"/>
      <c r="E96" s="476"/>
      <c r="F96" s="720"/>
      <c r="G96" s="720"/>
      <c r="H96" s="487"/>
      <c r="I96" s="488"/>
      <c r="J96" s="860"/>
      <c r="K96" s="721"/>
      <c r="L96" s="489"/>
      <c r="M96" s="485"/>
      <c r="N96" s="481"/>
      <c r="O96" s="482"/>
      <c r="P96" s="719"/>
      <c r="Q96" s="718"/>
      <c r="R96" s="860"/>
      <c r="S96" s="721"/>
      <c r="T96" s="489"/>
      <c r="U96" s="485"/>
      <c r="V96" s="481"/>
      <c r="W96" s="482"/>
      <c r="X96" s="719"/>
      <c r="Y96" s="718"/>
      <c r="Z96" s="860"/>
      <c r="AA96" s="721"/>
      <c r="AB96" s="489"/>
      <c r="AC96" s="485"/>
      <c r="AD96" s="481"/>
      <c r="AE96" s="482"/>
    </row>
    <row r="97" spans="1:31" ht="15" thickBot="1">
      <c r="A97" s="865" t="s">
        <v>173</v>
      </c>
      <c r="B97" s="865"/>
      <c r="C97" s="865"/>
      <c r="D97" s="865"/>
      <c r="E97" s="486">
        <v>120</v>
      </c>
      <c r="F97" s="720">
        <v>130</v>
      </c>
      <c r="G97" s="720"/>
      <c r="H97" s="706">
        <f>I97+J97+N97</f>
        <v>5564000</v>
      </c>
      <c r="I97" s="705">
        <v>5025000</v>
      </c>
      <c r="J97" s="863"/>
      <c r="K97" s="864"/>
      <c r="L97" s="484"/>
      <c r="M97" s="485"/>
      <c r="N97" s="481">
        <v>539000</v>
      </c>
      <c r="O97" s="482"/>
      <c r="P97" s="719">
        <f>Q97+R97+V97</f>
        <v>5564000</v>
      </c>
      <c r="Q97" s="718">
        <v>5025000</v>
      </c>
      <c r="R97" s="863"/>
      <c r="S97" s="864"/>
      <c r="T97" s="484"/>
      <c r="U97" s="485"/>
      <c r="V97" s="481">
        <v>539000</v>
      </c>
      <c r="W97" s="482"/>
      <c r="X97" s="719">
        <f>Y97+Z97+AD97</f>
        <v>5564000</v>
      </c>
      <c r="Y97" s="718">
        <v>5025000</v>
      </c>
      <c r="Z97" s="863"/>
      <c r="AA97" s="864"/>
      <c r="AB97" s="484"/>
      <c r="AC97" s="485"/>
      <c r="AD97" s="481">
        <v>539000</v>
      </c>
      <c r="AE97" s="482"/>
    </row>
    <row r="98" spans="1:31" ht="15" thickBot="1">
      <c r="A98" s="865" t="s">
        <v>174</v>
      </c>
      <c r="B98" s="865"/>
      <c r="C98" s="865"/>
      <c r="D98" s="865"/>
      <c r="E98" s="476">
        <v>130</v>
      </c>
      <c r="F98" s="720"/>
      <c r="G98" s="720"/>
      <c r="H98" s="487"/>
      <c r="I98" s="488" t="s">
        <v>241</v>
      </c>
      <c r="J98" s="860" t="s">
        <v>241</v>
      </c>
      <c r="K98" s="721"/>
      <c r="L98" s="489" t="s">
        <v>241</v>
      </c>
      <c r="M98" s="485" t="s">
        <v>241</v>
      </c>
      <c r="N98" s="481"/>
      <c r="O98" s="482" t="s">
        <v>241</v>
      </c>
      <c r="P98" s="719"/>
      <c r="Q98" s="718" t="s">
        <v>241</v>
      </c>
      <c r="R98" s="860" t="s">
        <v>241</v>
      </c>
      <c r="S98" s="721"/>
      <c r="T98" s="489" t="s">
        <v>241</v>
      </c>
      <c r="U98" s="485" t="s">
        <v>241</v>
      </c>
      <c r="V98" s="481"/>
      <c r="W98" s="482" t="s">
        <v>241</v>
      </c>
      <c r="X98" s="719"/>
      <c r="Y98" s="718" t="s">
        <v>241</v>
      </c>
      <c r="Z98" s="860" t="s">
        <v>241</v>
      </c>
      <c r="AA98" s="721"/>
      <c r="AB98" s="489" t="s">
        <v>241</v>
      </c>
      <c r="AC98" s="485" t="s">
        <v>241</v>
      </c>
      <c r="AD98" s="481"/>
      <c r="AE98" s="482" t="s">
        <v>241</v>
      </c>
    </row>
    <row r="99" spans="1:31" ht="15" thickBot="1">
      <c r="A99" s="866" t="s">
        <v>175</v>
      </c>
      <c r="B99" s="866"/>
      <c r="C99" s="866"/>
      <c r="D99" s="866"/>
      <c r="E99" s="476">
        <v>140</v>
      </c>
      <c r="F99" s="720"/>
      <c r="G99" s="720"/>
      <c r="H99" s="487"/>
      <c r="I99" s="488" t="s">
        <v>241</v>
      </c>
      <c r="J99" s="860" t="s">
        <v>241</v>
      </c>
      <c r="K99" s="721"/>
      <c r="L99" s="489" t="s">
        <v>241</v>
      </c>
      <c r="M99" s="485" t="s">
        <v>241</v>
      </c>
      <c r="N99" s="481"/>
      <c r="O99" s="482" t="s">
        <v>241</v>
      </c>
      <c r="P99" s="719"/>
      <c r="Q99" s="718" t="s">
        <v>241</v>
      </c>
      <c r="R99" s="860" t="s">
        <v>241</v>
      </c>
      <c r="S99" s="721"/>
      <c r="T99" s="489" t="s">
        <v>241</v>
      </c>
      <c r="U99" s="485" t="s">
        <v>241</v>
      </c>
      <c r="V99" s="481"/>
      <c r="W99" s="482" t="s">
        <v>241</v>
      </c>
      <c r="X99" s="719"/>
      <c r="Y99" s="718" t="s">
        <v>241</v>
      </c>
      <c r="Z99" s="860" t="s">
        <v>241</v>
      </c>
      <c r="AA99" s="721"/>
      <c r="AB99" s="489" t="s">
        <v>241</v>
      </c>
      <c r="AC99" s="485" t="s">
        <v>241</v>
      </c>
      <c r="AD99" s="481"/>
      <c r="AE99" s="482" t="s">
        <v>241</v>
      </c>
    </row>
    <row r="100" spans="1:31" ht="15" thickBot="1">
      <c r="A100" s="866" t="s">
        <v>176</v>
      </c>
      <c r="B100" s="866"/>
      <c r="C100" s="866"/>
      <c r="D100" s="866"/>
      <c r="E100" s="476">
        <v>150</v>
      </c>
      <c r="F100" s="867" t="s">
        <v>755</v>
      </c>
      <c r="G100" s="867"/>
      <c r="H100" s="487">
        <v>101000</v>
      </c>
      <c r="I100" s="488" t="s">
        <v>241</v>
      </c>
      <c r="J100" s="860">
        <v>101000</v>
      </c>
      <c r="K100" s="721"/>
      <c r="L100" s="489"/>
      <c r="M100" s="485" t="s">
        <v>241</v>
      </c>
      <c r="N100" s="481" t="s">
        <v>241</v>
      </c>
      <c r="O100" s="482" t="s">
        <v>241</v>
      </c>
      <c r="P100" s="719">
        <v>101000</v>
      </c>
      <c r="Q100" s="718" t="s">
        <v>241</v>
      </c>
      <c r="R100" s="860">
        <v>101000</v>
      </c>
      <c r="S100" s="721"/>
      <c r="T100" s="489"/>
      <c r="U100" s="485" t="s">
        <v>241</v>
      </c>
      <c r="V100" s="481" t="s">
        <v>241</v>
      </c>
      <c r="W100" s="482" t="s">
        <v>241</v>
      </c>
      <c r="X100" s="719">
        <v>101000</v>
      </c>
      <c r="Y100" s="718" t="s">
        <v>241</v>
      </c>
      <c r="Z100" s="860">
        <v>101000</v>
      </c>
      <c r="AA100" s="721"/>
      <c r="AB100" s="489"/>
      <c r="AC100" s="485" t="s">
        <v>241</v>
      </c>
      <c r="AD100" s="481" t="s">
        <v>241</v>
      </c>
      <c r="AE100" s="482" t="s">
        <v>241</v>
      </c>
    </row>
    <row r="101" spans="1:31" ht="15" thickBot="1">
      <c r="A101" s="866" t="s">
        <v>177</v>
      </c>
      <c r="B101" s="866"/>
      <c r="C101" s="866"/>
      <c r="D101" s="866"/>
      <c r="E101" s="476">
        <v>160</v>
      </c>
      <c r="F101" s="720"/>
      <c r="G101" s="720"/>
      <c r="H101" s="487"/>
      <c r="I101" s="488" t="s">
        <v>241</v>
      </c>
      <c r="J101" s="860" t="s">
        <v>241</v>
      </c>
      <c r="K101" s="721"/>
      <c r="L101" s="489" t="s">
        <v>241</v>
      </c>
      <c r="M101" s="485" t="s">
        <v>241</v>
      </c>
      <c r="N101" s="481"/>
      <c r="O101" s="482"/>
      <c r="P101" s="719"/>
      <c r="Q101" s="718" t="s">
        <v>241</v>
      </c>
      <c r="R101" s="860" t="s">
        <v>241</v>
      </c>
      <c r="S101" s="721"/>
      <c r="T101" s="489" t="s">
        <v>241</v>
      </c>
      <c r="U101" s="485" t="s">
        <v>241</v>
      </c>
      <c r="V101" s="481"/>
      <c r="W101" s="482"/>
      <c r="X101" s="719"/>
      <c r="Y101" s="718" t="s">
        <v>241</v>
      </c>
      <c r="Z101" s="860" t="s">
        <v>241</v>
      </c>
      <c r="AA101" s="721"/>
      <c r="AB101" s="489" t="s">
        <v>241</v>
      </c>
      <c r="AC101" s="485" t="s">
        <v>241</v>
      </c>
      <c r="AD101" s="481"/>
      <c r="AE101" s="482"/>
    </row>
    <row r="102" spans="1:31" ht="15" thickBot="1">
      <c r="A102" s="866" t="s">
        <v>178</v>
      </c>
      <c r="B102" s="866"/>
      <c r="C102" s="866"/>
      <c r="D102" s="866"/>
      <c r="E102" s="476">
        <v>180</v>
      </c>
      <c r="F102" s="720" t="s">
        <v>241</v>
      </c>
      <c r="G102" s="720"/>
      <c r="H102" s="487"/>
      <c r="I102" s="488" t="s">
        <v>241</v>
      </c>
      <c r="J102" s="860" t="s">
        <v>241</v>
      </c>
      <c r="K102" s="721"/>
      <c r="L102" s="489" t="s">
        <v>241</v>
      </c>
      <c r="M102" s="485" t="s">
        <v>241</v>
      </c>
      <c r="N102" s="481"/>
      <c r="O102" s="482" t="s">
        <v>241</v>
      </c>
      <c r="P102" s="719"/>
      <c r="Q102" s="718" t="s">
        <v>241</v>
      </c>
      <c r="R102" s="860" t="s">
        <v>241</v>
      </c>
      <c r="S102" s="721"/>
      <c r="T102" s="489" t="s">
        <v>241</v>
      </c>
      <c r="U102" s="485" t="s">
        <v>241</v>
      </c>
      <c r="V102" s="481"/>
      <c r="W102" s="482" t="s">
        <v>241</v>
      </c>
      <c r="X102" s="719"/>
      <c r="Y102" s="718" t="s">
        <v>241</v>
      </c>
      <c r="Z102" s="860" t="s">
        <v>241</v>
      </c>
      <c r="AA102" s="721"/>
      <c r="AB102" s="489" t="s">
        <v>241</v>
      </c>
      <c r="AC102" s="485" t="s">
        <v>241</v>
      </c>
      <c r="AD102" s="481"/>
      <c r="AE102" s="482" t="s">
        <v>241</v>
      </c>
    </row>
    <row r="103" spans="1:31" ht="16.2" thickBot="1">
      <c r="A103" s="868"/>
      <c r="B103" s="868"/>
      <c r="C103" s="868"/>
      <c r="D103" s="868"/>
      <c r="E103" s="490"/>
      <c r="F103" s="720"/>
      <c r="G103" s="720"/>
      <c r="H103" s="487"/>
      <c r="I103" s="488"/>
      <c r="J103" s="860"/>
      <c r="K103" s="721"/>
      <c r="L103" s="489"/>
      <c r="M103" s="485"/>
      <c r="N103" s="481"/>
      <c r="O103" s="482"/>
      <c r="P103" s="719"/>
      <c r="Q103" s="718"/>
      <c r="R103" s="860"/>
      <c r="S103" s="721"/>
      <c r="T103" s="489"/>
      <c r="U103" s="485"/>
      <c r="V103" s="481"/>
      <c r="W103" s="482"/>
      <c r="X103" s="719"/>
      <c r="Y103" s="718"/>
      <c r="Z103" s="860"/>
      <c r="AA103" s="721"/>
      <c r="AB103" s="489"/>
      <c r="AC103" s="485"/>
      <c r="AD103" s="481"/>
      <c r="AE103" s="482"/>
    </row>
    <row r="104" spans="1:31" ht="18" thickBot="1">
      <c r="A104" s="869" t="s">
        <v>179</v>
      </c>
      <c r="B104" s="869"/>
      <c r="C104" s="869"/>
      <c r="D104" s="869"/>
      <c r="E104" s="476">
        <v>200</v>
      </c>
      <c r="F104" s="720"/>
      <c r="G104" s="720"/>
      <c r="H104" s="487">
        <f>H106+H109+H114</f>
        <v>5665000</v>
      </c>
      <c r="I104" s="488">
        <f>I105+I113+I114</f>
        <v>4938000</v>
      </c>
      <c r="J104" s="860">
        <v>101000</v>
      </c>
      <c r="K104" s="721"/>
      <c r="L104" s="489"/>
      <c r="M104" s="485"/>
      <c r="N104" s="481">
        <v>539000</v>
      </c>
      <c r="O104" s="482"/>
      <c r="P104" s="719">
        <f>P106+P109+P114</f>
        <v>5665000</v>
      </c>
      <c r="Q104" s="718">
        <f>Q105+Q113+Q114</f>
        <v>4938000</v>
      </c>
      <c r="R104" s="860">
        <v>101000</v>
      </c>
      <c r="S104" s="721"/>
      <c r="T104" s="489"/>
      <c r="U104" s="485"/>
      <c r="V104" s="481">
        <v>539000</v>
      </c>
      <c r="W104" s="482"/>
      <c r="X104" s="719">
        <f>X106+X109+X114</f>
        <v>5665000</v>
      </c>
      <c r="Y104" s="718">
        <f>Y105+Y113+Y114</f>
        <v>4938000</v>
      </c>
      <c r="Z104" s="860">
        <v>101000</v>
      </c>
      <c r="AA104" s="721"/>
      <c r="AB104" s="489"/>
      <c r="AC104" s="485"/>
      <c r="AD104" s="481">
        <v>539000</v>
      </c>
      <c r="AE104" s="482"/>
    </row>
    <row r="105" spans="1:31" ht="15" thickBot="1">
      <c r="A105" s="866" t="s">
        <v>180</v>
      </c>
      <c r="B105" s="866"/>
      <c r="C105" s="866"/>
      <c r="D105" s="866"/>
      <c r="E105" s="476">
        <v>210</v>
      </c>
      <c r="F105" s="720">
        <v>110</v>
      </c>
      <c r="G105" s="720"/>
      <c r="H105" s="487">
        <f>H106</f>
        <v>3592000</v>
      </c>
      <c r="I105" s="488">
        <f>I106</f>
        <v>3592000</v>
      </c>
      <c r="J105" s="860"/>
      <c r="K105" s="721"/>
      <c r="L105" s="489"/>
      <c r="M105" s="485"/>
      <c r="N105" s="481"/>
      <c r="O105" s="482"/>
      <c r="P105" s="719">
        <f>P106</f>
        <v>3592000</v>
      </c>
      <c r="Q105" s="718">
        <f>Q106</f>
        <v>3592000</v>
      </c>
      <c r="R105" s="860"/>
      <c r="S105" s="721"/>
      <c r="T105" s="489"/>
      <c r="U105" s="485"/>
      <c r="V105" s="481"/>
      <c r="W105" s="482"/>
      <c r="X105" s="719">
        <f>X106</f>
        <v>3592000</v>
      </c>
      <c r="Y105" s="718">
        <f>Y106</f>
        <v>3592000</v>
      </c>
      <c r="Z105" s="860"/>
      <c r="AA105" s="721"/>
      <c r="AB105" s="489"/>
      <c r="AC105" s="485"/>
      <c r="AD105" s="481"/>
      <c r="AE105" s="482"/>
    </row>
    <row r="106" spans="1:31" ht="15" thickBot="1">
      <c r="A106" s="866" t="s">
        <v>181</v>
      </c>
      <c r="B106" s="866"/>
      <c r="C106" s="866"/>
      <c r="D106" s="866"/>
      <c r="E106" s="476">
        <v>211</v>
      </c>
      <c r="F106" s="720">
        <v>110</v>
      </c>
      <c r="G106" s="720"/>
      <c r="H106" s="487">
        <f>I106</f>
        <v>3592000</v>
      </c>
      <c r="I106" s="488">
        <v>3592000</v>
      </c>
      <c r="J106" s="860"/>
      <c r="K106" s="721"/>
      <c r="L106" s="489"/>
      <c r="M106" s="485"/>
      <c r="N106" s="481"/>
      <c r="O106" s="482"/>
      <c r="P106" s="719">
        <f>Q106</f>
        <v>3592000</v>
      </c>
      <c r="Q106" s="718">
        <v>3592000</v>
      </c>
      <c r="R106" s="860"/>
      <c r="S106" s="721"/>
      <c r="T106" s="489"/>
      <c r="U106" s="485"/>
      <c r="V106" s="481"/>
      <c r="W106" s="482"/>
      <c r="X106" s="719">
        <f>Y106</f>
        <v>3592000</v>
      </c>
      <c r="Y106" s="718">
        <v>3592000</v>
      </c>
      <c r="Z106" s="860"/>
      <c r="AA106" s="721"/>
      <c r="AB106" s="489"/>
      <c r="AC106" s="485"/>
      <c r="AD106" s="481"/>
      <c r="AE106" s="482"/>
    </row>
    <row r="107" spans="1:31" ht="15" thickBot="1">
      <c r="A107" s="866" t="s">
        <v>182</v>
      </c>
      <c r="B107" s="866"/>
      <c r="C107" s="866"/>
      <c r="D107" s="866"/>
      <c r="E107" s="476">
        <v>220</v>
      </c>
      <c r="F107" s="720"/>
      <c r="G107" s="720"/>
      <c r="H107" s="487"/>
      <c r="I107" s="488"/>
      <c r="J107" s="860"/>
      <c r="K107" s="721"/>
      <c r="L107" s="489"/>
      <c r="M107" s="485"/>
      <c r="N107" s="481"/>
      <c r="O107" s="482"/>
      <c r="P107" s="719"/>
      <c r="Q107" s="718"/>
      <c r="R107" s="860"/>
      <c r="S107" s="721"/>
      <c r="T107" s="489"/>
      <c r="U107" s="485"/>
      <c r="V107" s="481"/>
      <c r="W107" s="482"/>
      <c r="X107" s="719"/>
      <c r="Y107" s="718"/>
      <c r="Z107" s="860"/>
      <c r="AA107" s="721"/>
      <c r="AB107" s="489"/>
      <c r="AC107" s="485"/>
      <c r="AD107" s="481"/>
      <c r="AE107" s="482"/>
    </row>
    <row r="108" spans="1:31" ht="15" thickBot="1">
      <c r="A108" s="829" t="s">
        <v>183</v>
      </c>
      <c r="B108" s="830"/>
      <c r="C108" s="830"/>
      <c r="D108" s="831"/>
      <c r="E108" s="486"/>
      <c r="F108" s="720"/>
      <c r="G108" s="720"/>
      <c r="H108" s="487"/>
      <c r="I108" s="488"/>
      <c r="J108" s="860"/>
      <c r="K108" s="721"/>
      <c r="L108" s="489"/>
      <c r="M108" s="485"/>
      <c r="N108" s="481"/>
      <c r="O108" s="482"/>
      <c r="P108" s="719"/>
      <c r="Q108" s="718"/>
      <c r="R108" s="860"/>
      <c r="S108" s="721"/>
      <c r="T108" s="489"/>
      <c r="U108" s="485"/>
      <c r="V108" s="481"/>
      <c r="W108" s="482"/>
      <c r="X108" s="719"/>
      <c r="Y108" s="718"/>
      <c r="Z108" s="860"/>
      <c r="AA108" s="721"/>
      <c r="AB108" s="489"/>
      <c r="AC108" s="485"/>
      <c r="AD108" s="481"/>
      <c r="AE108" s="482"/>
    </row>
    <row r="109" spans="1:31" ht="15" thickBot="1">
      <c r="A109" s="866" t="s">
        <v>184</v>
      </c>
      <c r="B109" s="866"/>
      <c r="C109" s="866"/>
      <c r="D109" s="866"/>
      <c r="E109" s="476">
        <v>230</v>
      </c>
      <c r="F109" s="720">
        <v>851</v>
      </c>
      <c r="G109" s="720"/>
      <c r="H109" s="487">
        <v>87000</v>
      </c>
      <c r="I109" s="488">
        <v>87000</v>
      </c>
      <c r="J109" s="860"/>
      <c r="K109" s="721"/>
      <c r="L109" s="489"/>
      <c r="M109" s="485"/>
      <c r="N109" s="481"/>
      <c r="O109" s="482"/>
      <c r="P109" s="719">
        <v>87000</v>
      </c>
      <c r="Q109" s="718">
        <v>87000</v>
      </c>
      <c r="R109" s="860"/>
      <c r="S109" s="721"/>
      <c r="T109" s="489"/>
      <c r="U109" s="485"/>
      <c r="V109" s="481"/>
      <c r="W109" s="482"/>
      <c r="X109" s="719">
        <v>87000</v>
      </c>
      <c r="Y109" s="718">
        <v>87000</v>
      </c>
      <c r="Z109" s="860"/>
      <c r="AA109" s="721"/>
      <c r="AB109" s="489"/>
      <c r="AC109" s="485"/>
      <c r="AD109" s="481"/>
      <c r="AE109" s="482"/>
    </row>
    <row r="110" spans="1:31" ht="15" thickBot="1">
      <c r="A110" s="829" t="s">
        <v>183</v>
      </c>
      <c r="B110" s="830"/>
      <c r="C110" s="830"/>
      <c r="D110" s="831"/>
      <c r="E110" s="476"/>
      <c r="F110" s="720"/>
      <c r="G110" s="720"/>
      <c r="H110" s="487"/>
      <c r="I110" s="488"/>
      <c r="J110" s="860"/>
      <c r="K110" s="721"/>
      <c r="L110" s="489"/>
      <c r="M110" s="485"/>
      <c r="N110" s="481"/>
      <c r="O110" s="482"/>
      <c r="P110" s="719"/>
      <c r="Q110" s="718"/>
      <c r="R110" s="860"/>
      <c r="S110" s="721"/>
      <c r="T110" s="489"/>
      <c r="U110" s="485"/>
      <c r="V110" s="481"/>
      <c r="W110" s="482"/>
      <c r="X110" s="719"/>
      <c r="Y110" s="718"/>
      <c r="Z110" s="860"/>
      <c r="AA110" s="721"/>
      <c r="AB110" s="489"/>
      <c r="AC110" s="485"/>
      <c r="AD110" s="481"/>
      <c r="AE110" s="482"/>
    </row>
    <row r="111" spans="1:31" ht="15" thickBot="1">
      <c r="A111" s="866" t="s">
        <v>185</v>
      </c>
      <c r="B111" s="866"/>
      <c r="C111" s="866"/>
      <c r="D111" s="866"/>
      <c r="E111" s="476">
        <v>240</v>
      </c>
      <c r="F111" s="720"/>
      <c r="G111" s="720"/>
      <c r="H111" s="487"/>
      <c r="I111" s="488"/>
      <c r="J111" s="860"/>
      <c r="K111" s="721"/>
      <c r="L111" s="489"/>
      <c r="M111" s="485"/>
      <c r="N111" s="481"/>
      <c r="O111" s="482"/>
      <c r="P111" s="719"/>
      <c r="Q111" s="718"/>
      <c r="R111" s="860"/>
      <c r="S111" s="721"/>
      <c r="T111" s="489"/>
      <c r="U111" s="485"/>
      <c r="V111" s="481"/>
      <c r="W111" s="482"/>
      <c r="X111" s="719"/>
      <c r="Y111" s="718"/>
      <c r="Z111" s="860"/>
      <c r="AA111" s="721"/>
      <c r="AB111" s="489"/>
      <c r="AC111" s="485"/>
      <c r="AD111" s="481"/>
      <c r="AE111" s="482"/>
    </row>
    <row r="112" spans="1:31" ht="1.5" customHeight="1" thickBot="1">
      <c r="A112" s="866"/>
      <c r="B112" s="866"/>
      <c r="C112" s="866"/>
      <c r="D112" s="866"/>
      <c r="E112" s="476"/>
      <c r="F112" s="720"/>
      <c r="G112" s="720"/>
      <c r="H112" s="487"/>
      <c r="I112" s="488"/>
      <c r="J112" s="860"/>
      <c r="K112" s="721"/>
      <c r="L112" s="489"/>
      <c r="M112" s="485"/>
      <c r="N112" s="481"/>
      <c r="O112" s="482"/>
      <c r="P112" s="719"/>
      <c r="Q112" s="718"/>
      <c r="R112" s="860"/>
      <c r="S112" s="721"/>
      <c r="T112" s="489"/>
      <c r="U112" s="485"/>
      <c r="V112" s="481"/>
      <c r="W112" s="482"/>
      <c r="X112" s="719"/>
      <c r="Y112" s="718"/>
      <c r="Z112" s="860"/>
      <c r="AA112" s="721"/>
      <c r="AB112" s="489"/>
      <c r="AC112" s="485"/>
      <c r="AD112" s="481"/>
      <c r="AE112" s="482"/>
    </row>
    <row r="113" spans="1:31" ht="15" thickBot="1">
      <c r="A113" s="866" t="s">
        <v>186</v>
      </c>
      <c r="B113" s="866"/>
      <c r="C113" s="866"/>
      <c r="D113" s="866"/>
      <c r="E113" s="476">
        <v>250</v>
      </c>
      <c r="F113" s="720"/>
      <c r="G113" s="720"/>
      <c r="H113" s="487"/>
      <c r="I113" s="488"/>
      <c r="J113" s="860"/>
      <c r="K113" s="721"/>
      <c r="L113" s="489"/>
      <c r="M113" s="485"/>
      <c r="N113" s="481"/>
      <c r="O113" s="482"/>
      <c r="P113" s="719"/>
      <c r="Q113" s="718"/>
      <c r="R113" s="860"/>
      <c r="S113" s="721"/>
      <c r="T113" s="489"/>
      <c r="U113" s="485"/>
      <c r="V113" s="481"/>
      <c r="W113" s="482"/>
      <c r="X113" s="719"/>
      <c r="Y113" s="718"/>
      <c r="Z113" s="860"/>
      <c r="AA113" s="721"/>
      <c r="AB113" s="489"/>
      <c r="AC113" s="485"/>
      <c r="AD113" s="481"/>
      <c r="AE113" s="482"/>
    </row>
    <row r="114" spans="1:31" ht="15" thickBot="1">
      <c r="A114" s="866" t="s">
        <v>187</v>
      </c>
      <c r="B114" s="866"/>
      <c r="C114" s="866"/>
      <c r="D114" s="866"/>
      <c r="E114" s="476">
        <v>260</v>
      </c>
      <c r="F114" s="720" t="s">
        <v>241</v>
      </c>
      <c r="G114" s="720"/>
      <c r="H114" s="487">
        <f>I114+J114+N114</f>
        <v>1986000</v>
      </c>
      <c r="I114" s="488">
        <v>1346000</v>
      </c>
      <c r="J114" s="860">
        <v>101000</v>
      </c>
      <c r="K114" s="721"/>
      <c r="L114" s="489"/>
      <c r="M114" s="485"/>
      <c r="N114" s="481">
        <v>539000</v>
      </c>
      <c r="O114" s="482"/>
      <c r="P114" s="719">
        <f>Q114+R114+V114</f>
        <v>1986000</v>
      </c>
      <c r="Q114" s="718">
        <v>1346000</v>
      </c>
      <c r="R114" s="860">
        <v>101000</v>
      </c>
      <c r="S114" s="721"/>
      <c r="T114" s="489"/>
      <c r="U114" s="485"/>
      <c r="V114" s="481">
        <v>539000</v>
      </c>
      <c r="W114" s="482"/>
      <c r="X114" s="719">
        <f>Y114+Z114+AD114</f>
        <v>1986000</v>
      </c>
      <c r="Y114" s="718">
        <v>1346000</v>
      </c>
      <c r="Z114" s="860">
        <v>101000</v>
      </c>
      <c r="AA114" s="721"/>
      <c r="AB114" s="489"/>
      <c r="AC114" s="485"/>
      <c r="AD114" s="481">
        <v>539000</v>
      </c>
      <c r="AE114" s="482"/>
    </row>
    <row r="115" spans="1:31" ht="0.75" customHeight="1" thickBot="1">
      <c r="A115" s="866"/>
      <c r="B115" s="866"/>
      <c r="C115" s="866"/>
      <c r="D115" s="866"/>
      <c r="E115" s="476"/>
      <c r="F115" s="720"/>
      <c r="G115" s="720"/>
      <c r="H115" s="487"/>
      <c r="I115" s="488"/>
      <c r="J115" s="860"/>
      <c r="K115" s="721"/>
      <c r="L115" s="489"/>
      <c r="M115" s="485"/>
      <c r="N115" s="481"/>
      <c r="O115" s="482"/>
      <c r="P115" s="487"/>
      <c r="Q115" s="488"/>
      <c r="R115" s="860"/>
      <c r="S115" s="721"/>
      <c r="T115" s="489"/>
      <c r="U115" s="485"/>
      <c r="V115" s="481"/>
      <c r="W115" s="482"/>
      <c r="X115" s="487"/>
      <c r="Y115" s="488"/>
      <c r="Z115" s="860"/>
      <c r="AA115" s="721"/>
      <c r="AB115" s="489"/>
      <c r="AC115" s="485"/>
      <c r="AD115" s="481"/>
      <c r="AE115" s="482"/>
    </row>
    <row r="116" spans="1:31" ht="15" hidden="1" thickBot="1">
      <c r="A116" s="866"/>
      <c r="B116" s="866"/>
      <c r="C116" s="866"/>
      <c r="D116" s="866"/>
      <c r="E116" s="476"/>
      <c r="F116" s="720"/>
      <c r="G116" s="720"/>
      <c r="H116" s="487"/>
      <c r="I116" s="488"/>
      <c r="J116" s="860"/>
      <c r="K116" s="721"/>
      <c r="L116" s="489"/>
      <c r="M116" s="485"/>
      <c r="N116" s="481"/>
      <c r="O116" s="482"/>
      <c r="P116" s="487"/>
      <c r="Q116" s="488"/>
      <c r="R116" s="860"/>
      <c r="S116" s="721"/>
      <c r="T116" s="489"/>
      <c r="U116" s="485"/>
      <c r="V116" s="481"/>
      <c r="W116" s="482"/>
      <c r="X116" s="487"/>
      <c r="Y116" s="488"/>
      <c r="Z116" s="860"/>
      <c r="AA116" s="721"/>
      <c r="AB116" s="489"/>
      <c r="AC116" s="485"/>
      <c r="AD116" s="481"/>
      <c r="AE116" s="482"/>
    </row>
    <row r="117" spans="1:31" ht="18" thickBot="1">
      <c r="A117" s="869" t="s">
        <v>188</v>
      </c>
      <c r="B117" s="869"/>
      <c r="C117" s="869"/>
      <c r="D117" s="869"/>
      <c r="E117" s="491">
        <v>300</v>
      </c>
      <c r="F117" s="720" t="s">
        <v>241</v>
      </c>
      <c r="G117" s="720"/>
      <c r="H117" s="487"/>
      <c r="I117" s="488"/>
      <c r="J117" s="860"/>
      <c r="K117" s="721"/>
      <c r="L117" s="489"/>
      <c r="M117" s="485"/>
      <c r="N117" s="481"/>
      <c r="O117" s="482"/>
      <c r="P117" s="487"/>
      <c r="Q117" s="488"/>
      <c r="R117" s="860"/>
      <c r="S117" s="721"/>
      <c r="T117" s="489"/>
      <c r="U117" s="485"/>
      <c r="V117" s="481"/>
      <c r="W117" s="482"/>
      <c r="X117" s="487"/>
      <c r="Y117" s="488"/>
      <c r="Z117" s="860"/>
      <c r="AA117" s="721"/>
      <c r="AB117" s="489"/>
      <c r="AC117" s="485"/>
      <c r="AD117" s="481"/>
      <c r="AE117" s="482"/>
    </row>
    <row r="118" spans="1:31" ht="15" thickBot="1">
      <c r="A118" s="866" t="s">
        <v>189</v>
      </c>
      <c r="B118" s="866"/>
      <c r="C118" s="866"/>
      <c r="D118" s="866"/>
      <c r="E118" s="476">
        <v>310</v>
      </c>
      <c r="F118" s="720"/>
      <c r="G118" s="720"/>
      <c r="H118" s="487"/>
      <c r="I118" s="488"/>
      <c r="J118" s="860"/>
      <c r="K118" s="721"/>
      <c r="L118" s="489"/>
      <c r="M118" s="485"/>
      <c r="N118" s="481"/>
      <c r="O118" s="482"/>
      <c r="P118" s="487"/>
      <c r="Q118" s="488"/>
      <c r="R118" s="860"/>
      <c r="S118" s="721"/>
      <c r="T118" s="489"/>
      <c r="U118" s="485"/>
      <c r="V118" s="481"/>
      <c r="W118" s="482"/>
      <c r="X118" s="487"/>
      <c r="Y118" s="488"/>
      <c r="Z118" s="860"/>
      <c r="AA118" s="721"/>
      <c r="AB118" s="489"/>
      <c r="AC118" s="485"/>
      <c r="AD118" s="481"/>
      <c r="AE118" s="482"/>
    </row>
    <row r="119" spans="1:31" ht="15" thickBot="1">
      <c r="A119" s="866" t="s">
        <v>190</v>
      </c>
      <c r="B119" s="866"/>
      <c r="C119" s="866"/>
      <c r="D119" s="866"/>
      <c r="E119" s="476">
        <v>320</v>
      </c>
      <c r="F119" s="720"/>
      <c r="G119" s="720"/>
      <c r="H119" s="487"/>
      <c r="I119" s="488"/>
      <c r="J119" s="860"/>
      <c r="K119" s="721"/>
      <c r="L119" s="489"/>
      <c r="M119" s="485"/>
      <c r="N119" s="481"/>
      <c r="O119" s="482"/>
      <c r="P119" s="487"/>
      <c r="Q119" s="488"/>
      <c r="R119" s="860"/>
      <c r="S119" s="721"/>
      <c r="T119" s="489"/>
      <c r="U119" s="485"/>
      <c r="V119" s="481"/>
      <c r="W119" s="482"/>
      <c r="X119" s="487"/>
      <c r="Y119" s="488"/>
      <c r="Z119" s="860"/>
      <c r="AA119" s="721"/>
      <c r="AB119" s="489"/>
      <c r="AC119" s="485"/>
      <c r="AD119" s="481"/>
      <c r="AE119" s="482"/>
    </row>
    <row r="120" spans="1:31" ht="18" thickBot="1">
      <c r="A120" s="869" t="s">
        <v>191</v>
      </c>
      <c r="B120" s="869"/>
      <c r="C120" s="869"/>
      <c r="D120" s="869"/>
      <c r="E120" s="491">
        <v>400</v>
      </c>
      <c r="F120" s="872"/>
      <c r="G120" s="872"/>
      <c r="H120" s="492"/>
      <c r="I120" s="493"/>
      <c r="J120" s="870"/>
      <c r="K120" s="871"/>
      <c r="L120" s="494"/>
      <c r="M120" s="495"/>
      <c r="N120" s="496"/>
      <c r="O120" s="497"/>
      <c r="P120" s="492"/>
      <c r="Q120" s="493"/>
      <c r="R120" s="870"/>
      <c r="S120" s="871"/>
      <c r="T120" s="494"/>
      <c r="U120" s="495"/>
      <c r="V120" s="496"/>
      <c r="W120" s="497"/>
      <c r="X120" s="492"/>
      <c r="Y120" s="493"/>
      <c r="Z120" s="870"/>
      <c r="AA120" s="871"/>
      <c r="AB120" s="494"/>
      <c r="AC120" s="495"/>
      <c r="AD120" s="496"/>
      <c r="AE120" s="497"/>
    </row>
    <row r="121" spans="1:31" ht="15" thickBot="1">
      <c r="A121" s="866" t="s">
        <v>192</v>
      </c>
      <c r="B121" s="866"/>
      <c r="C121" s="866"/>
      <c r="D121" s="866"/>
      <c r="E121" s="476">
        <v>410</v>
      </c>
      <c r="F121" s="720"/>
      <c r="G121" s="720"/>
      <c r="H121" s="487"/>
      <c r="I121" s="488"/>
      <c r="J121" s="860"/>
      <c r="K121" s="721"/>
      <c r="L121" s="489"/>
      <c r="M121" s="485"/>
      <c r="N121" s="481"/>
      <c r="O121" s="482"/>
      <c r="P121" s="487"/>
      <c r="Q121" s="488"/>
      <c r="R121" s="860"/>
      <c r="S121" s="721"/>
      <c r="T121" s="489"/>
      <c r="U121" s="485"/>
      <c r="V121" s="481"/>
      <c r="W121" s="482"/>
      <c r="X121" s="487"/>
      <c r="Y121" s="488"/>
      <c r="Z121" s="860"/>
      <c r="AA121" s="721"/>
      <c r="AB121" s="489"/>
      <c r="AC121" s="485"/>
      <c r="AD121" s="481"/>
      <c r="AE121" s="482"/>
    </row>
    <row r="122" spans="1:31" ht="15" thickBot="1">
      <c r="A122" s="866" t="s">
        <v>193</v>
      </c>
      <c r="B122" s="866"/>
      <c r="C122" s="866"/>
      <c r="D122" s="866"/>
      <c r="E122" s="476">
        <v>420</v>
      </c>
      <c r="F122" s="720"/>
      <c r="G122" s="720"/>
      <c r="H122" s="487"/>
      <c r="I122" s="488"/>
      <c r="J122" s="860"/>
      <c r="K122" s="721"/>
      <c r="L122" s="489"/>
      <c r="M122" s="485"/>
      <c r="N122" s="481"/>
      <c r="O122" s="482"/>
      <c r="P122" s="487"/>
      <c r="Q122" s="488"/>
      <c r="R122" s="860"/>
      <c r="S122" s="721"/>
      <c r="T122" s="489"/>
      <c r="U122" s="485"/>
      <c r="V122" s="481"/>
      <c r="W122" s="482"/>
      <c r="X122" s="487"/>
      <c r="Y122" s="488"/>
      <c r="Z122" s="860"/>
      <c r="AA122" s="721"/>
      <c r="AB122" s="489"/>
      <c r="AC122" s="485"/>
      <c r="AD122" s="481"/>
      <c r="AE122" s="482"/>
    </row>
    <row r="123" spans="1:31" ht="18" thickBot="1">
      <c r="A123" s="869" t="s">
        <v>194</v>
      </c>
      <c r="B123" s="869"/>
      <c r="C123" s="869"/>
      <c r="D123" s="869"/>
      <c r="E123" s="491">
        <v>500</v>
      </c>
      <c r="F123" s="720" t="s">
        <v>241</v>
      </c>
      <c r="G123" s="720"/>
      <c r="H123" s="487"/>
      <c r="I123" s="488"/>
      <c r="J123" s="860"/>
      <c r="K123" s="721"/>
      <c r="L123" s="489"/>
      <c r="M123" s="485"/>
      <c r="N123" s="481"/>
      <c r="O123" s="482"/>
      <c r="P123" s="487"/>
      <c r="Q123" s="488"/>
      <c r="R123" s="860"/>
      <c r="S123" s="721"/>
      <c r="T123" s="489"/>
      <c r="U123" s="485"/>
      <c r="V123" s="481"/>
      <c r="W123" s="482"/>
      <c r="X123" s="487"/>
      <c r="Y123" s="488"/>
      <c r="Z123" s="860"/>
      <c r="AA123" s="721"/>
      <c r="AB123" s="489"/>
      <c r="AC123" s="485"/>
      <c r="AD123" s="481"/>
      <c r="AE123" s="482"/>
    </row>
    <row r="124" spans="1:31" ht="18" thickBot="1">
      <c r="A124" s="869" t="s">
        <v>195</v>
      </c>
      <c r="B124" s="869"/>
      <c r="C124" s="869"/>
      <c r="D124" s="869"/>
      <c r="E124" s="491">
        <v>600</v>
      </c>
      <c r="F124" s="720" t="s">
        <v>241</v>
      </c>
      <c r="G124" s="720"/>
      <c r="H124" s="487"/>
      <c r="I124" s="488"/>
      <c r="J124" s="860"/>
      <c r="K124" s="721"/>
      <c r="L124" s="489"/>
      <c r="M124" s="485"/>
      <c r="N124" s="481"/>
      <c r="O124" s="482"/>
      <c r="P124" s="487"/>
      <c r="Q124" s="488"/>
      <c r="R124" s="860"/>
      <c r="S124" s="721"/>
      <c r="T124" s="489"/>
      <c r="U124" s="485"/>
      <c r="V124" s="481"/>
      <c r="W124" s="482"/>
      <c r="X124" s="487"/>
      <c r="Y124" s="488"/>
      <c r="Z124" s="860"/>
      <c r="AA124" s="721"/>
      <c r="AB124" s="489"/>
      <c r="AC124" s="485"/>
      <c r="AD124" s="481"/>
      <c r="AE124" s="482"/>
    </row>
    <row r="125" spans="1:31" ht="40.5" customHeight="1">
      <c r="A125" s="873" t="s">
        <v>159</v>
      </c>
      <c r="B125" s="873"/>
      <c r="C125" s="873"/>
      <c r="D125" s="873"/>
      <c r="E125" s="873"/>
      <c r="F125" s="873"/>
      <c r="G125" s="873"/>
      <c r="H125" s="873"/>
      <c r="I125" s="873"/>
      <c r="J125" s="873"/>
      <c r="K125" s="873"/>
      <c r="L125" s="873"/>
      <c r="M125" s="873"/>
      <c r="N125" s="873"/>
      <c r="O125" s="873"/>
      <c r="P125" s="873"/>
      <c r="Q125" s="873"/>
      <c r="R125" s="873"/>
      <c r="S125" s="873"/>
      <c r="T125" s="873"/>
      <c r="U125" s="873"/>
      <c r="V125" s="873"/>
      <c r="W125" s="873"/>
      <c r="X125" s="873"/>
      <c r="Y125" s="873"/>
    </row>
    <row r="126" spans="1:31" ht="19.95" customHeight="1">
      <c r="A126" s="883" t="s">
        <v>196</v>
      </c>
      <c r="B126" s="884"/>
      <c r="C126" s="884"/>
      <c r="D126" s="884"/>
      <c r="E126" s="884"/>
      <c r="F126" s="884"/>
      <c r="G126" s="884"/>
      <c r="H126" s="884"/>
      <c r="I126" s="884"/>
      <c r="J126" s="884"/>
      <c r="K126" s="884"/>
      <c r="L126" s="884"/>
      <c r="M126" s="884"/>
      <c r="N126" s="884"/>
      <c r="O126" s="884"/>
    </row>
    <row r="127" spans="1:31" ht="15" thickBot="1">
      <c r="A127" s="883" t="s">
        <v>764</v>
      </c>
      <c r="B127" s="884"/>
      <c r="C127" s="884"/>
      <c r="D127" s="884"/>
      <c r="E127" s="884"/>
      <c r="F127" s="884"/>
      <c r="G127" s="884"/>
      <c r="H127" s="884"/>
      <c r="I127" s="884"/>
      <c r="J127" s="884"/>
      <c r="K127" s="884"/>
      <c r="L127" s="884"/>
      <c r="M127" s="884"/>
      <c r="N127" s="884"/>
      <c r="O127" s="884"/>
    </row>
    <row r="128" spans="1:31" ht="15" thickBot="1">
      <c r="A128" s="897" t="s">
        <v>292</v>
      </c>
      <c r="B128" s="898"/>
      <c r="C128" s="898"/>
      <c r="D128" s="899"/>
      <c r="E128" s="906" t="s">
        <v>163</v>
      </c>
      <c r="F128" s="906" t="s">
        <v>197</v>
      </c>
      <c r="G128" s="847" t="s">
        <v>198</v>
      </c>
      <c r="H128" s="881"/>
      <c r="I128" s="881"/>
      <c r="J128" s="881"/>
      <c r="K128" s="881"/>
      <c r="L128" s="881"/>
      <c r="M128" s="881"/>
      <c r="N128" s="881"/>
      <c r="O128" s="881"/>
      <c r="P128" s="881"/>
      <c r="Q128" s="882"/>
    </row>
    <row r="129" spans="1:17" ht="15" thickBot="1">
      <c r="A129" s="900"/>
      <c r="B129" s="901"/>
      <c r="C129" s="901"/>
      <c r="D129" s="902"/>
      <c r="E129" s="907"/>
      <c r="F129" s="907"/>
      <c r="G129" s="885" t="s">
        <v>199</v>
      </c>
      <c r="H129" s="886"/>
      <c r="I129" s="886"/>
      <c r="J129" s="887"/>
      <c r="K129" s="880" t="s">
        <v>164</v>
      </c>
      <c r="L129" s="881"/>
      <c r="M129" s="881"/>
      <c r="N129" s="881"/>
      <c r="O129" s="881"/>
      <c r="P129" s="881"/>
      <c r="Q129" s="882"/>
    </row>
    <row r="130" spans="1:17">
      <c r="A130" s="900"/>
      <c r="B130" s="901"/>
      <c r="C130" s="901"/>
      <c r="D130" s="902"/>
      <c r="E130" s="907"/>
      <c r="F130" s="907"/>
      <c r="G130" s="888"/>
      <c r="H130" s="886"/>
      <c r="I130" s="886"/>
      <c r="J130" s="887"/>
      <c r="K130" s="874" t="s">
        <v>200</v>
      </c>
      <c r="L130" s="875"/>
      <c r="M130" s="875"/>
      <c r="N130" s="876"/>
      <c r="O130" s="874" t="s">
        <v>201</v>
      </c>
      <c r="P130" s="875"/>
      <c r="Q130" s="876"/>
    </row>
    <row r="131" spans="1:17" ht="15" thickBot="1">
      <c r="A131" s="900"/>
      <c r="B131" s="901"/>
      <c r="C131" s="901"/>
      <c r="D131" s="902"/>
      <c r="E131" s="907"/>
      <c r="F131" s="907"/>
      <c r="G131" s="889"/>
      <c r="H131" s="890"/>
      <c r="I131" s="890"/>
      <c r="J131" s="891"/>
      <c r="K131" s="877"/>
      <c r="L131" s="878"/>
      <c r="M131" s="878"/>
      <c r="N131" s="879"/>
      <c r="O131" s="877"/>
      <c r="P131" s="878"/>
      <c r="Q131" s="879"/>
    </row>
    <row r="132" spans="1:17" ht="225" thickBot="1">
      <c r="A132" s="903"/>
      <c r="B132" s="904"/>
      <c r="C132" s="904"/>
      <c r="D132" s="905"/>
      <c r="E132" s="908"/>
      <c r="F132" s="908"/>
      <c r="G132" s="892" t="s">
        <v>765</v>
      </c>
      <c r="H132" s="893"/>
      <c r="I132" s="508" t="s">
        <v>766</v>
      </c>
      <c r="J132" s="508" t="s">
        <v>767</v>
      </c>
      <c r="K132" s="892" t="s">
        <v>768</v>
      </c>
      <c r="L132" s="893"/>
      <c r="M132" s="508" t="s">
        <v>769</v>
      </c>
      <c r="N132" s="508" t="s">
        <v>770</v>
      </c>
      <c r="O132" s="507" t="s">
        <v>204</v>
      </c>
      <c r="P132" s="508" t="s">
        <v>202</v>
      </c>
      <c r="Q132" s="508" t="s">
        <v>203</v>
      </c>
    </row>
    <row r="133" spans="1:17" ht="15" thickBot="1">
      <c r="A133" s="894">
        <v>1</v>
      </c>
      <c r="B133" s="895"/>
      <c r="C133" s="895"/>
      <c r="D133" s="896"/>
      <c r="E133" s="509">
        <v>2</v>
      </c>
      <c r="F133" s="474">
        <v>3</v>
      </c>
      <c r="G133" s="847">
        <v>4</v>
      </c>
      <c r="H133" s="882"/>
      <c r="I133" s="510">
        <v>5</v>
      </c>
      <c r="J133" s="487">
        <v>6</v>
      </c>
      <c r="K133" s="880">
        <v>7</v>
      </c>
      <c r="L133" s="882"/>
      <c r="M133" s="510">
        <v>8</v>
      </c>
      <c r="N133" s="510">
        <v>9</v>
      </c>
      <c r="O133" s="506">
        <v>10</v>
      </c>
      <c r="P133" s="510">
        <v>11</v>
      </c>
      <c r="Q133" s="504">
        <v>12</v>
      </c>
    </row>
    <row r="134" spans="1:17" ht="15" thickBot="1">
      <c r="A134" s="894" t="s">
        <v>205</v>
      </c>
      <c r="B134" s="895"/>
      <c r="C134" s="895"/>
      <c r="D134" s="896"/>
      <c r="E134" s="511" t="s">
        <v>206</v>
      </c>
      <c r="F134" s="474" t="s">
        <v>241</v>
      </c>
      <c r="G134" s="847">
        <f>G137</f>
        <v>1986000</v>
      </c>
      <c r="H134" s="882"/>
      <c r="I134" s="510">
        <f>I137</f>
        <v>1986000</v>
      </c>
      <c r="J134" s="487">
        <f>J137</f>
        <v>1986000</v>
      </c>
      <c r="K134" s="880">
        <f>K137</f>
        <v>1986000</v>
      </c>
      <c r="L134" s="882"/>
      <c r="M134" s="510">
        <f>M137</f>
        <v>1986000</v>
      </c>
      <c r="N134" s="510">
        <f>N137</f>
        <v>1986000</v>
      </c>
      <c r="O134" s="506"/>
      <c r="P134" s="510"/>
      <c r="Q134" s="504"/>
    </row>
    <row r="135" spans="1:17" ht="15" thickBot="1">
      <c r="A135" s="894" t="s">
        <v>207</v>
      </c>
      <c r="B135" s="895"/>
      <c r="C135" s="895"/>
      <c r="D135" s="896"/>
      <c r="E135" s="511" t="s">
        <v>208</v>
      </c>
      <c r="F135" s="474" t="s">
        <v>241</v>
      </c>
      <c r="G135" s="847"/>
      <c r="H135" s="882"/>
      <c r="I135" s="510"/>
      <c r="J135" s="487"/>
      <c r="K135" s="880"/>
      <c r="L135" s="882"/>
      <c r="M135" s="510"/>
      <c r="N135" s="510"/>
      <c r="O135" s="506"/>
      <c r="P135" s="510"/>
      <c r="Q135" s="504"/>
    </row>
    <row r="136" spans="1:17" ht="15" thickBot="1">
      <c r="A136" s="894"/>
      <c r="B136" s="895"/>
      <c r="C136" s="895"/>
      <c r="D136" s="896"/>
      <c r="E136" s="511"/>
      <c r="F136" s="474"/>
      <c r="G136" s="847"/>
      <c r="H136" s="882"/>
      <c r="I136" s="510"/>
      <c r="J136" s="487"/>
      <c r="K136" s="880"/>
      <c r="L136" s="882"/>
      <c r="M136" s="510"/>
      <c r="N136" s="510"/>
      <c r="O136" s="506"/>
      <c r="P136" s="510"/>
      <c r="Q136" s="504"/>
    </row>
    <row r="137" spans="1:17" ht="15" thickBot="1">
      <c r="A137" s="894" t="s">
        <v>209</v>
      </c>
      <c r="B137" s="895"/>
      <c r="C137" s="895"/>
      <c r="D137" s="896"/>
      <c r="E137" s="511" t="s">
        <v>210</v>
      </c>
      <c r="F137" s="474"/>
      <c r="G137" s="847">
        <v>1986000</v>
      </c>
      <c r="H137" s="882"/>
      <c r="I137" s="510">
        <v>1986000</v>
      </c>
      <c r="J137" s="487">
        <v>1986000</v>
      </c>
      <c r="K137" s="880">
        <v>1986000</v>
      </c>
      <c r="L137" s="882"/>
      <c r="M137" s="510">
        <v>1986000</v>
      </c>
      <c r="N137" s="510">
        <v>1986000</v>
      </c>
      <c r="O137" s="506"/>
      <c r="P137" s="510"/>
      <c r="Q137" s="504"/>
    </row>
    <row r="138" spans="1:17" ht="14.25" customHeight="1" thickBot="1">
      <c r="A138" s="894"/>
      <c r="B138" s="895"/>
      <c r="C138" s="895"/>
      <c r="D138" s="896"/>
      <c r="E138" s="511"/>
      <c r="F138" s="474"/>
      <c r="G138" s="847"/>
      <c r="H138" s="882"/>
      <c r="I138" s="510"/>
      <c r="J138" s="487"/>
      <c r="K138" s="880"/>
      <c r="L138" s="882"/>
      <c r="M138" s="510"/>
      <c r="N138" s="510"/>
      <c r="O138" s="506"/>
      <c r="P138" s="510"/>
      <c r="Q138" s="504"/>
    </row>
    <row r="139" spans="1:17" ht="9" hidden="1" customHeight="1">
      <c r="A139" s="498"/>
      <c r="B139" s="498"/>
      <c r="C139" s="498"/>
      <c r="D139" s="498"/>
      <c r="E139" s="499"/>
      <c r="F139" s="500"/>
      <c r="G139" s="500"/>
      <c r="H139" s="501"/>
      <c r="I139" s="502"/>
      <c r="J139" s="501"/>
      <c r="K139" s="502"/>
      <c r="L139" s="501"/>
      <c r="M139" s="502"/>
      <c r="N139" s="502"/>
      <c r="O139" s="502"/>
    </row>
    <row r="140" spans="1:17" ht="17.399999999999999" hidden="1">
      <c r="A140" s="498"/>
      <c r="B140" s="498"/>
      <c r="C140" s="498"/>
      <c r="D140" s="498"/>
      <c r="E140" s="499"/>
      <c r="F140" s="500"/>
      <c r="G140" s="500"/>
      <c r="H140" s="501"/>
      <c r="I140" s="502"/>
      <c r="J140" s="501"/>
      <c r="K140" s="502"/>
      <c r="L140" s="501"/>
      <c r="M140" s="502"/>
      <c r="N140" s="502"/>
      <c r="O140" s="502"/>
    </row>
    <row r="141" spans="1:17" ht="17.399999999999999" hidden="1">
      <c r="A141" s="498"/>
      <c r="B141" s="498"/>
      <c r="C141" s="498"/>
      <c r="D141" s="498"/>
      <c r="E141" s="499"/>
      <c r="F141" s="500"/>
      <c r="G141" s="500"/>
      <c r="H141" s="501"/>
      <c r="I141" s="502"/>
      <c r="J141" s="501"/>
      <c r="K141" s="502"/>
      <c r="L141" s="501"/>
      <c r="M141" s="502"/>
      <c r="N141" s="502"/>
      <c r="O141" s="502"/>
    </row>
    <row r="142" spans="1:17" ht="17.399999999999999">
      <c r="A142" s="498"/>
      <c r="B142" s="909" t="s">
        <v>211</v>
      </c>
      <c r="C142" s="910"/>
      <c r="D142" s="910"/>
      <c r="E142" s="910"/>
      <c r="F142" s="910"/>
      <c r="G142" s="910"/>
      <c r="H142" s="910"/>
      <c r="I142" s="910"/>
      <c r="J142" s="910"/>
      <c r="K142" s="910"/>
      <c r="L142" s="910"/>
      <c r="M142" s="502"/>
      <c r="N142" s="502"/>
      <c r="O142" s="502"/>
    </row>
    <row r="143" spans="1:17" ht="17.399999999999999">
      <c r="A143" s="498"/>
      <c r="B143" s="911" t="s">
        <v>771</v>
      </c>
      <c r="C143" s="912"/>
      <c r="D143" s="912"/>
      <c r="E143" s="912"/>
      <c r="F143" s="912"/>
      <c r="G143" s="912"/>
      <c r="H143" s="912"/>
      <c r="I143" s="912"/>
      <c r="J143" s="912"/>
      <c r="K143" s="912"/>
      <c r="L143" s="912"/>
      <c r="M143" s="502"/>
      <c r="N143" s="502"/>
      <c r="O143" s="502"/>
    </row>
    <row r="144" spans="1:17" ht="18" thickBot="1">
      <c r="A144" s="498"/>
      <c r="B144" s="911" t="s">
        <v>212</v>
      </c>
      <c r="C144" s="912"/>
      <c r="D144" s="912"/>
      <c r="E144" s="912"/>
      <c r="F144" s="912"/>
      <c r="G144" s="912"/>
      <c r="H144" s="912"/>
      <c r="I144" s="912"/>
      <c r="J144" s="912"/>
      <c r="K144" s="912"/>
      <c r="L144" s="912"/>
      <c r="M144" s="502"/>
      <c r="N144" s="502"/>
      <c r="O144" s="502"/>
    </row>
    <row r="145" spans="1:15" ht="42" thickBot="1">
      <c r="A145" s="847" t="s">
        <v>292</v>
      </c>
      <c r="B145" s="848"/>
      <c r="C145" s="848"/>
      <c r="D145" s="849"/>
      <c r="E145" s="475" t="s">
        <v>163</v>
      </c>
      <c r="F145" s="848" t="s">
        <v>213</v>
      </c>
      <c r="G145" s="913"/>
      <c r="H145" s="913"/>
      <c r="I145" s="845"/>
      <c r="J145" s="501"/>
      <c r="K145" s="502"/>
      <c r="L145" s="501"/>
      <c r="M145" s="502"/>
      <c r="N145" s="502"/>
      <c r="O145" s="502"/>
    </row>
    <row r="146" spans="1:15" ht="15" thickBot="1">
      <c r="A146" s="829">
        <v>1</v>
      </c>
      <c r="B146" s="830"/>
      <c r="C146" s="830"/>
      <c r="D146" s="830"/>
      <c r="E146" s="476">
        <v>2</v>
      </c>
      <c r="F146" s="848">
        <v>3</v>
      </c>
      <c r="G146" s="881"/>
      <c r="H146" s="881"/>
      <c r="I146" s="882"/>
      <c r="J146" s="501"/>
      <c r="K146" s="502"/>
      <c r="L146" s="501"/>
      <c r="M146" s="502"/>
      <c r="N146" s="502"/>
      <c r="O146" s="502"/>
    </row>
    <row r="147" spans="1:15" ht="15" thickBot="1">
      <c r="A147" s="735" t="s">
        <v>214</v>
      </c>
      <c r="B147" s="736"/>
      <c r="C147" s="736"/>
      <c r="D147" s="736"/>
      <c r="E147" s="512" t="s">
        <v>215</v>
      </c>
      <c r="F147" s="848"/>
      <c r="G147" s="881"/>
      <c r="H147" s="881"/>
      <c r="I147" s="882"/>
      <c r="J147" s="501"/>
      <c r="K147" s="502"/>
      <c r="L147" s="501"/>
      <c r="M147" s="502"/>
      <c r="N147" s="502"/>
      <c r="O147" s="502"/>
    </row>
    <row r="148" spans="1:15" ht="15" thickBot="1">
      <c r="A148" s="735" t="s">
        <v>216</v>
      </c>
      <c r="B148" s="736"/>
      <c r="C148" s="736"/>
      <c r="D148" s="736"/>
      <c r="E148" s="512" t="s">
        <v>217</v>
      </c>
      <c r="F148" s="848"/>
      <c r="G148" s="881"/>
      <c r="H148" s="881"/>
      <c r="I148" s="882"/>
      <c r="J148" s="501"/>
      <c r="K148" s="502"/>
      <c r="L148" s="501"/>
      <c r="M148" s="502"/>
      <c r="N148" s="502"/>
      <c r="O148" s="502"/>
    </row>
    <row r="149" spans="1:15" ht="15" thickBot="1">
      <c r="A149" s="735" t="s">
        <v>218</v>
      </c>
      <c r="B149" s="736"/>
      <c r="C149" s="736"/>
      <c r="D149" s="736"/>
      <c r="E149" s="512" t="s">
        <v>219</v>
      </c>
      <c r="F149" s="848"/>
      <c r="G149" s="881"/>
      <c r="H149" s="881"/>
      <c r="I149" s="882"/>
      <c r="J149" s="501"/>
      <c r="K149" s="502"/>
      <c r="L149" s="501"/>
      <c r="M149" s="502"/>
      <c r="N149" s="502"/>
      <c r="O149" s="502"/>
    </row>
    <row r="150" spans="1:15" ht="15" thickBot="1">
      <c r="A150" s="735"/>
      <c r="B150" s="736"/>
      <c r="C150" s="736"/>
      <c r="D150" s="736"/>
      <c r="E150" s="512"/>
      <c r="F150" s="848"/>
      <c r="G150" s="881"/>
      <c r="H150" s="881"/>
      <c r="I150" s="882"/>
      <c r="J150" s="501"/>
      <c r="K150" s="502"/>
      <c r="L150" s="501"/>
      <c r="M150" s="502"/>
      <c r="N150" s="502"/>
      <c r="O150" s="502"/>
    </row>
    <row r="151" spans="1:15" ht="15" thickBot="1">
      <c r="A151" s="735" t="s">
        <v>220</v>
      </c>
      <c r="B151" s="736"/>
      <c r="C151" s="736"/>
      <c r="D151" s="736"/>
      <c r="E151" s="512" t="s">
        <v>221</v>
      </c>
      <c r="F151" s="848"/>
      <c r="G151" s="881"/>
      <c r="H151" s="881"/>
      <c r="I151" s="882"/>
      <c r="J151" s="501"/>
      <c r="K151" s="502"/>
      <c r="L151" s="501"/>
      <c r="M151" s="502"/>
      <c r="N151" s="502"/>
      <c r="O151" s="502"/>
    </row>
    <row r="152" spans="1:15" hidden="1">
      <c r="A152" s="466"/>
      <c r="B152" s="466"/>
      <c r="C152" s="466"/>
      <c r="D152" s="466"/>
      <c r="E152" s="513"/>
      <c r="F152" s="500"/>
      <c r="G152" s="505"/>
      <c r="H152" s="505"/>
      <c r="I152" s="505"/>
      <c r="J152" s="501"/>
      <c r="K152" s="502"/>
      <c r="L152" s="501"/>
      <c r="M152" s="502"/>
      <c r="N152" s="502"/>
      <c r="O152" s="502"/>
    </row>
    <row r="153" spans="1:15" ht="12" customHeight="1" thickBot="1">
      <c r="A153" s="819" t="s">
        <v>86</v>
      </c>
      <c r="B153" s="884"/>
      <c r="C153" s="884"/>
      <c r="D153" s="884"/>
      <c r="E153" s="884"/>
      <c r="F153" s="884"/>
      <c r="G153" s="884"/>
      <c r="H153" s="884"/>
      <c r="I153" s="884"/>
      <c r="J153" s="884"/>
      <c r="K153" s="502"/>
      <c r="L153" s="501"/>
      <c r="M153" s="502"/>
      <c r="N153" s="502"/>
      <c r="O153" s="502"/>
    </row>
    <row r="154" spans="1:15" ht="36.75" customHeight="1" thickBot="1">
      <c r="A154" s="847" t="s">
        <v>292</v>
      </c>
      <c r="B154" s="848"/>
      <c r="C154" s="848"/>
      <c r="D154" s="849"/>
      <c r="E154" s="475" t="s">
        <v>163</v>
      </c>
      <c r="F154" s="848" t="s">
        <v>87</v>
      </c>
      <c r="G154" s="913"/>
      <c r="H154" s="913"/>
      <c r="I154" s="845"/>
      <c r="J154" s="501"/>
      <c r="K154" s="502"/>
      <c r="L154" s="501"/>
      <c r="M154" s="502"/>
      <c r="N154" s="502"/>
      <c r="O154" s="502"/>
    </row>
    <row r="155" spans="1:15" ht="10.5" customHeight="1" thickBot="1">
      <c r="A155" s="829">
        <v>1</v>
      </c>
      <c r="B155" s="830"/>
      <c r="C155" s="830"/>
      <c r="D155" s="830"/>
      <c r="E155" s="476">
        <v>2</v>
      </c>
      <c r="F155" s="848">
        <v>3</v>
      </c>
      <c r="G155" s="881"/>
      <c r="H155" s="881"/>
      <c r="I155" s="882"/>
      <c r="J155" s="501"/>
      <c r="K155" s="502"/>
      <c r="L155" s="501"/>
      <c r="M155" s="502"/>
      <c r="N155" s="502"/>
      <c r="O155" s="502"/>
    </row>
    <row r="156" spans="1:15" ht="23.25" customHeight="1" thickBot="1">
      <c r="A156" s="735" t="s">
        <v>88</v>
      </c>
      <c r="B156" s="736"/>
      <c r="C156" s="736"/>
      <c r="D156" s="736"/>
      <c r="E156" s="512" t="s">
        <v>215</v>
      </c>
      <c r="F156" s="848"/>
      <c r="G156" s="881"/>
      <c r="H156" s="881"/>
      <c r="I156" s="882"/>
      <c r="J156" s="501"/>
      <c r="K156" s="502"/>
      <c r="L156" s="501"/>
      <c r="M156" s="502"/>
      <c r="N156" s="502"/>
      <c r="O156" s="502"/>
    </row>
    <row r="157" spans="1:15" ht="36" customHeight="1" thickBot="1">
      <c r="A157" s="735" t="s">
        <v>89</v>
      </c>
      <c r="B157" s="736"/>
      <c r="C157" s="736"/>
      <c r="D157" s="736"/>
      <c r="E157" s="512" t="s">
        <v>217</v>
      </c>
      <c r="F157" s="848"/>
      <c r="G157" s="881"/>
      <c r="H157" s="881"/>
      <c r="I157" s="882"/>
      <c r="J157" s="501"/>
      <c r="K157" s="502"/>
      <c r="L157" s="501"/>
      <c r="M157" s="502"/>
      <c r="N157" s="502"/>
      <c r="O157" s="502"/>
    </row>
    <row r="158" spans="1:15" ht="30.75" customHeight="1" thickBot="1">
      <c r="A158" s="735" t="s">
        <v>90</v>
      </c>
      <c r="B158" s="736"/>
      <c r="C158" s="736"/>
      <c r="D158" s="736"/>
      <c r="E158" s="512" t="s">
        <v>219</v>
      </c>
      <c r="F158" s="848"/>
      <c r="G158" s="881"/>
      <c r="H158" s="881"/>
      <c r="I158" s="882"/>
      <c r="J158" s="501"/>
      <c r="K158" s="502"/>
      <c r="L158" s="501"/>
      <c r="M158" s="502"/>
      <c r="N158" s="502"/>
      <c r="O158" s="502"/>
    </row>
    <row r="159" spans="1:15" hidden="1">
      <c r="A159" s="666"/>
      <c r="B159" s="666"/>
      <c r="C159" s="666"/>
      <c r="D159" s="666"/>
      <c r="E159" s="667"/>
      <c r="F159" s="666"/>
      <c r="G159" s="666"/>
      <c r="H159" s="666"/>
      <c r="I159" s="666"/>
      <c r="J159" s="666"/>
      <c r="K159" s="666"/>
      <c r="L159" s="666"/>
    </row>
    <row r="160" spans="1:15" hidden="1">
      <c r="A160" s="726"/>
      <c r="B160" s="726"/>
      <c r="C160" s="726"/>
      <c r="D160" s="726"/>
      <c r="E160" s="726"/>
      <c r="F160" s="726"/>
      <c r="G160" s="749"/>
      <c r="H160" s="749"/>
      <c r="I160" s="749"/>
      <c r="J160" s="749"/>
    </row>
    <row r="161" spans="1:10" hidden="1">
      <c r="A161" s="460"/>
      <c r="B161" s="460"/>
      <c r="C161" s="727"/>
      <c r="D161" s="727"/>
      <c r="E161" s="460"/>
      <c r="F161" s="727"/>
      <c r="G161" s="727"/>
      <c r="H161" s="461"/>
      <c r="I161" s="728"/>
      <c r="J161" s="728"/>
    </row>
    <row r="162" spans="1:10" ht="60" customHeight="1">
      <c r="A162" s="726" t="s">
        <v>714</v>
      </c>
      <c r="B162" s="726"/>
      <c r="C162" s="726"/>
      <c r="D162" s="914"/>
      <c r="E162" s="914"/>
      <c r="F162" s="914"/>
      <c r="G162" s="914"/>
      <c r="H162" s="914"/>
      <c r="I162" s="749" t="s">
        <v>739</v>
      </c>
      <c r="J162" s="749"/>
    </row>
    <row r="163" spans="1:10" ht="26.25" customHeight="1">
      <c r="A163" s="459"/>
      <c r="B163" s="459"/>
      <c r="C163" s="728" t="s">
        <v>116</v>
      </c>
      <c r="D163" s="915"/>
      <c r="E163" s="915"/>
      <c r="F163" s="915"/>
      <c r="G163" s="915"/>
      <c r="H163" s="915"/>
      <c r="I163" s="916" t="s">
        <v>117</v>
      </c>
      <c r="J163" s="916"/>
    </row>
  </sheetData>
  <mergeCells count="428">
    <mergeCell ref="A162:C162"/>
    <mergeCell ref="D162:H162"/>
    <mergeCell ref="I162:J162"/>
    <mergeCell ref="A153:J153"/>
    <mergeCell ref="A154:D154"/>
    <mergeCell ref="F154:I154"/>
    <mergeCell ref="C163:H163"/>
    <mergeCell ref="I163:J163"/>
    <mergeCell ref="A160:F160"/>
    <mergeCell ref="G160:J160"/>
    <mergeCell ref="C161:D161"/>
    <mergeCell ref="F161:G161"/>
    <mergeCell ref="I161:J161"/>
    <mergeCell ref="A158:D158"/>
    <mergeCell ref="F158:I158"/>
    <mergeCell ref="A145:D145"/>
    <mergeCell ref="F145:I145"/>
    <mergeCell ref="A146:D146"/>
    <mergeCell ref="F146:I146"/>
    <mergeCell ref="A151:D151"/>
    <mergeCell ref="A157:D157"/>
    <mergeCell ref="F157:I157"/>
    <mergeCell ref="F151:I151"/>
    <mergeCell ref="A148:D148"/>
    <mergeCell ref="F148:I148"/>
    <mergeCell ref="A149:D149"/>
    <mergeCell ref="F149:I149"/>
    <mergeCell ref="A150:D150"/>
    <mergeCell ref="F150:I150"/>
    <mergeCell ref="A147:D147"/>
    <mergeCell ref="F147:I147"/>
    <mergeCell ref="A155:D155"/>
    <mergeCell ref="F155:I155"/>
    <mergeCell ref="A156:D156"/>
    <mergeCell ref="F156:I156"/>
    <mergeCell ref="B142:L142"/>
    <mergeCell ref="B143:L143"/>
    <mergeCell ref="A135:D135"/>
    <mergeCell ref="G135:H135"/>
    <mergeCell ref="K135:L135"/>
    <mergeCell ref="B144:L144"/>
    <mergeCell ref="A136:D136"/>
    <mergeCell ref="G136:H136"/>
    <mergeCell ref="K136:L136"/>
    <mergeCell ref="A137:D137"/>
    <mergeCell ref="G137:H137"/>
    <mergeCell ref="K137:L137"/>
    <mergeCell ref="G132:H132"/>
    <mergeCell ref="K132:L132"/>
    <mergeCell ref="A138:D138"/>
    <mergeCell ref="G138:H138"/>
    <mergeCell ref="K138:L138"/>
    <mergeCell ref="A128:D132"/>
    <mergeCell ref="E128:E132"/>
    <mergeCell ref="F128:F132"/>
    <mergeCell ref="A133:D133"/>
    <mergeCell ref="G133:H133"/>
    <mergeCell ref="K133:L133"/>
    <mergeCell ref="A134:D134"/>
    <mergeCell ref="G134:H134"/>
    <mergeCell ref="K134:L134"/>
    <mergeCell ref="A125:Y125"/>
    <mergeCell ref="K130:N131"/>
    <mergeCell ref="O130:Q131"/>
    <mergeCell ref="K129:Q129"/>
    <mergeCell ref="A126:O126"/>
    <mergeCell ref="A127:O127"/>
    <mergeCell ref="G128:Q128"/>
    <mergeCell ref="G129:J131"/>
    <mergeCell ref="A124:D124"/>
    <mergeCell ref="F124:G124"/>
    <mergeCell ref="J124:K124"/>
    <mergeCell ref="R124:S124"/>
    <mergeCell ref="Z122:AA122"/>
    <mergeCell ref="A123:D123"/>
    <mergeCell ref="F123:G123"/>
    <mergeCell ref="J123:K123"/>
    <mergeCell ref="R123:S123"/>
    <mergeCell ref="Z123:AA123"/>
    <mergeCell ref="A122:D122"/>
    <mergeCell ref="Z124:AA124"/>
    <mergeCell ref="F122:G122"/>
    <mergeCell ref="J122:K122"/>
    <mergeCell ref="R122:S122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8:AA118"/>
    <mergeCell ref="A119:D119"/>
    <mergeCell ref="F119:G119"/>
    <mergeCell ref="J119:K119"/>
    <mergeCell ref="R119:S119"/>
    <mergeCell ref="Z119:AA119"/>
    <mergeCell ref="A118:D118"/>
    <mergeCell ref="F118:G118"/>
    <mergeCell ref="J118:K118"/>
    <mergeCell ref="R118:S118"/>
    <mergeCell ref="Z116:AA116"/>
    <mergeCell ref="A117:D117"/>
    <mergeCell ref="F117:G117"/>
    <mergeCell ref="J117:K117"/>
    <mergeCell ref="R117:S117"/>
    <mergeCell ref="Z117:AA117"/>
    <mergeCell ref="A116:D116"/>
    <mergeCell ref="F116:G116"/>
    <mergeCell ref="J116:K116"/>
    <mergeCell ref="R116:S116"/>
    <mergeCell ref="Z114:AA114"/>
    <mergeCell ref="A115:D115"/>
    <mergeCell ref="F115:G115"/>
    <mergeCell ref="J115:K115"/>
    <mergeCell ref="R115:S115"/>
    <mergeCell ref="Z115:AA115"/>
    <mergeCell ref="A114:D114"/>
    <mergeCell ref="F114:G114"/>
    <mergeCell ref="J114:K114"/>
    <mergeCell ref="R114:S114"/>
    <mergeCell ref="Z112:AA112"/>
    <mergeCell ref="A113:D113"/>
    <mergeCell ref="F113:G113"/>
    <mergeCell ref="J113:K113"/>
    <mergeCell ref="R113:S113"/>
    <mergeCell ref="Z113:AA113"/>
    <mergeCell ref="A112:D112"/>
    <mergeCell ref="F112:G112"/>
    <mergeCell ref="J112:K112"/>
    <mergeCell ref="R112:S112"/>
    <mergeCell ref="Z110:AA110"/>
    <mergeCell ref="A111:D111"/>
    <mergeCell ref="F111:G111"/>
    <mergeCell ref="J111:K111"/>
    <mergeCell ref="R111:S111"/>
    <mergeCell ref="Z111:AA111"/>
    <mergeCell ref="A110:D110"/>
    <mergeCell ref="F110:G110"/>
    <mergeCell ref="J110:K110"/>
    <mergeCell ref="R110:S110"/>
    <mergeCell ref="Z108:AA108"/>
    <mergeCell ref="A109:D109"/>
    <mergeCell ref="F109:G109"/>
    <mergeCell ref="J109:K109"/>
    <mergeCell ref="R109:S109"/>
    <mergeCell ref="Z109:AA109"/>
    <mergeCell ref="A108:D108"/>
    <mergeCell ref="F108:G108"/>
    <mergeCell ref="J108:K108"/>
    <mergeCell ref="R108:S108"/>
    <mergeCell ref="Z106:AA106"/>
    <mergeCell ref="A107:D107"/>
    <mergeCell ref="F107:G107"/>
    <mergeCell ref="J107:K107"/>
    <mergeCell ref="R107:S107"/>
    <mergeCell ref="Z107:AA107"/>
    <mergeCell ref="A106:D106"/>
    <mergeCell ref="F106:G106"/>
    <mergeCell ref="J106:K106"/>
    <mergeCell ref="R106:S106"/>
    <mergeCell ref="Z104:AA104"/>
    <mergeCell ref="A105:D105"/>
    <mergeCell ref="F105:G105"/>
    <mergeCell ref="J105:K105"/>
    <mergeCell ref="R105:S105"/>
    <mergeCell ref="Z105:AA105"/>
    <mergeCell ref="A104:D104"/>
    <mergeCell ref="F104:G104"/>
    <mergeCell ref="J104:K104"/>
    <mergeCell ref="R104:S104"/>
    <mergeCell ref="Z102:AA102"/>
    <mergeCell ref="A103:D103"/>
    <mergeCell ref="F103:G103"/>
    <mergeCell ref="J103:K103"/>
    <mergeCell ref="R103:S103"/>
    <mergeCell ref="Z103:AA103"/>
    <mergeCell ref="A102:D102"/>
    <mergeCell ref="F102:G102"/>
    <mergeCell ref="J102:K102"/>
    <mergeCell ref="R102:S102"/>
    <mergeCell ref="Z100:AA100"/>
    <mergeCell ref="A101:D101"/>
    <mergeCell ref="F101:G101"/>
    <mergeCell ref="J101:K101"/>
    <mergeCell ref="R101:S101"/>
    <mergeCell ref="Z101:AA101"/>
    <mergeCell ref="A100:D100"/>
    <mergeCell ref="F100:G100"/>
    <mergeCell ref="J100:K100"/>
    <mergeCell ref="R100:S100"/>
    <mergeCell ref="Z98:AA98"/>
    <mergeCell ref="A99:D99"/>
    <mergeCell ref="F99:G99"/>
    <mergeCell ref="J99:K99"/>
    <mergeCell ref="R99:S99"/>
    <mergeCell ref="Z99:AA99"/>
    <mergeCell ref="A98:D98"/>
    <mergeCell ref="F98:G98"/>
    <mergeCell ref="J98:K98"/>
    <mergeCell ref="R98:S98"/>
    <mergeCell ref="Z96:AA96"/>
    <mergeCell ref="A97:D97"/>
    <mergeCell ref="F97:G97"/>
    <mergeCell ref="J97:K97"/>
    <mergeCell ref="R97:S97"/>
    <mergeCell ref="Z97:AA97"/>
    <mergeCell ref="A96:D96"/>
    <mergeCell ref="F96:G96"/>
    <mergeCell ref="J96:K96"/>
    <mergeCell ref="R96:S96"/>
    <mergeCell ref="Z95:AA95"/>
    <mergeCell ref="A94:D94"/>
    <mergeCell ref="F94:G94"/>
    <mergeCell ref="J94:K94"/>
    <mergeCell ref="R94:S94"/>
    <mergeCell ref="A95:D95"/>
    <mergeCell ref="F95:G95"/>
    <mergeCell ref="J95:K95"/>
    <mergeCell ref="R95:S95"/>
    <mergeCell ref="Z94:AA94"/>
    <mergeCell ref="Z93:AA93"/>
    <mergeCell ref="V91:W91"/>
    <mergeCell ref="A93:D93"/>
    <mergeCell ref="F93:G93"/>
    <mergeCell ref="J93:K93"/>
    <mergeCell ref="R93:S93"/>
    <mergeCell ref="I91:I92"/>
    <mergeCell ref="J91:K92"/>
    <mergeCell ref="A89:D92"/>
    <mergeCell ref="E89:E92"/>
    <mergeCell ref="F89:G92"/>
    <mergeCell ref="H89:O89"/>
    <mergeCell ref="L91:L92"/>
    <mergeCell ref="M91:M92"/>
    <mergeCell ref="N91:O91"/>
    <mergeCell ref="Y90:AE90"/>
    <mergeCell ref="AD91:AE91"/>
    <mergeCell ref="AC91:AC92"/>
    <mergeCell ref="AB91:AB92"/>
    <mergeCell ref="Q91:Q92"/>
    <mergeCell ref="R91:S92"/>
    <mergeCell ref="T91:T92"/>
    <mergeCell ref="Z91:AA92"/>
    <mergeCell ref="Q90:W90"/>
    <mergeCell ref="A88:L88"/>
    <mergeCell ref="P90:P92"/>
    <mergeCell ref="A77:F77"/>
    <mergeCell ref="X90:X92"/>
    <mergeCell ref="A87:L87"/>
    <mergeCell ref="A86:L86"/>
    <mergeCell ref="Y91:Y92"/>
    <mergeCell ref="U91:U92"/>
    <mergeCell ref="P89:W89"/>
    <mergeCell ref="X89:AE89"/>
    <mergeCell ref="H90:H92"/>
    <mergeCell ref="I90:O90"/>
    <mergeCell ref="A85:L85"/>
    <mergeCell ref="A84:F84"/>
    <mergeCell ref="G84:I84"/>
    <mergeCell ref="J84:L84"/>
    <mergeCell ref="A83:F83"/>
    <mergeCell ref="G83:I83"/>
    <mergeCell ref="J83:L83"/>
    <mergeCell ref="A79:F79"/>
    <mergeCell ref="G79:I79"/>
    <mergeCell ref="J79:L79"/>
    <mergeCell ref="A80:F80"/>
    <mergeCell ref="G80:I80"/>
    <mergeCell ref="J80:L80"/>
    <mergeCell ref="A81:F82"/>
    <mergeCell ref="G81:I82"/>
    <mergeCell ref="J81:L82"/>
    <mergeCell ref="A70:F70"/>
    <mergeCell ref="G70:I70"/>
    <mergeCell ref="J70:L70"/>
    <mergeCell ref="A67:F67"/>
    <mergeCell ref="G67:I67"/>
    <mergeCell ref="J67:L67"/>
    <mergeCell ref="A71:F71"/>
    <mergeCell ref="G71:I71"/>
    <mergeCell ref="J71:L71"/>
    <mergeCell ref="A75:F75"/>
    <mergeCell ref="G72:I72"/>
    <mergeCell ref="J72:L72"/>
    <mergeCell ref="G75:I75"/>
    <mergeCell ref="J75:L75"/>
    <mergeCell ref="A76:F76"/>
    <mergeCell ref="G77:I77"/>
    <mergeCell ref="J77:L77"/>
    <mergeCell ref="G76:I76"/>
    <mergeCell ref="A78:F78"/>
    <mergeCell ref="G78:I78"/>
    <mergeCell ref="J78:L78"/>
    <mergeCell ref="F60:G60"/>
    <mergeCell ref="I60:L60"/>
    <mergeCell ref="J73:L73"/>
    <mergeCell ref="A74:F74"/>
    <mergeCell ref="G74:I74"/>
    <mergeCell ref="A73:F73"/>
    <mergeCell ref="G73:I73"/>
    <mergeCell ref="A63:L63"/>
    <mergeCell ref="A64:L64"/>
    <mergeCell ref="A65:L65"/>
    <mergeCell ref="A66:F66"/>
    <mergeCell ref="J76:L76"/>
    <mergeCell ref="I51:L51"/>
    <mergeCell ref="A55:D55"/>
    <mergeCell ref="I52:L52"/>
    <mergeCell ref="G66:I66"/>
    <mergeCell ref="J66:L66"/>
    <mergeCell ref="J74:L74"/>
    <mergeCell ref="A68:F69"/>
    <mergeCell ref="G68:I69"/>
    <mergeCell ref="J68:L69"/>
    <mergeCell ref="A72:F72"/>
    <mergeCell ref="A57:D57"/>
    <mergeCell ref="F57:G57"/>
    <mergeCell ref="I57:L57"/>
    <mergeCell ref="A61:D61"/>
    <mergeCell ref="F61:G61"/>
    <mergeCell ref="I61:L61"/>
    <mergeCell ref="A62:L62"/>
    <mergeCell ref="A58:D58"/>
    <mergeCell ref="F58:G58"/>
    <mergeCell ref="I58:L58"/>
    <mergeCell ref="A59:D59"/>
    <mergeCell ref="F59:G59"/>
    <mergeCell ref="I59:L59"/>
    <mergeCell ref="A60:D60"/>
    <mergeCell ref="A56:D56"/>
    <mergeCell ref="F56:G56"/>
    <mergeCell ref="I56:L56"/>
    <mergeCell ref="A47:H47"/>
    <mergeCell ref="I47:L48"/>
    <mergeCell ref="A48:H48"/>
    <mergeCell ref="A49:L50"/>
    <mergeCell ref="A37:H38"/>
    <mergeCell ref="I37:L38"/>
    <mergeCell ref="A41:H42"/>
    <mergeCell ref="I41:L42"/>
    <mergeCell ref="A44:H44"/>
    <mergeCell ref="I44:L44"/>
    <mergeCell ref="A53:D53"/>
    <mergeCell ref="F53:G53"/>
    <mergeCell ref="I53:L53"/>
    <mergeCell ref="A54:D54"/>
    <mergeCell ref="F54:G54"/>
    <mergeCell ref="I54:L54"/>
    <mergeCell ref="F55:G55"/>
    <mergeCell ref="I55:L55"/>
    <mergeCell ref="A51:D52"/>
    <mergeCell ref="F51:G52"/>
    <mergeCell ref="H51:H52"/>
    <mergeCell ref="A33:L33"/>
    <mergeCell ref="A34:L34"/>
    <mergeCell ref="A35:L35"/>
    <mergeCell ref="A36:L36"/>
    <mergeCell ref="A45:H46"/>
    <mergeCell ref="I45:L46"/>
    <mergeCell ref="A39:H40"/>
    <mergeCell ref="I39:L40"/>
    <mergeCell ref="A43:H43"/>
    <mergeCell ref="I43:L43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25:C25"/>
    <mergeCell ref="D25:L25"/>
    <mergeCell ref="C14:D14"/>
    <mergeCell ref="F14:G14"/>
    <mergeCell ref="I14:K14"/>
    <mergeCell ref="A15:H16"/>
    <mergeCell ref="I15:K16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5:D5"/>
    <mergeCell ref="F5:G5"/>
    <mergeCell ref="C6:D6"/>
    <mergeCell ref="H7:L7"/>
    <mergeCell ref="F7:G10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A3:B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F24"/>
  <sheetViews>
    <sheetView topLeftCell="A7" workbookViewId="0">
      <selection activeCell="D24" sqref="D24"/>
    </sheetView>
  </sheetViews>
  <sheetFormatPr defaultColWidth="9.109375" defaultRowHeight="14.4"/>
  <cols>
    <col min="1" max="1" width="6.33203125" style="1" customWidth="1"/>
    <col min="2" max="2" width="49.44140625" style="1" customWidth="1"/>
    <col min="3" max="3" width="19.5546875" style="1" customWidth="1"/>
    <col min="4" max="4" width="18.88671875" style="1" customWidth="1"/>
    <col min="5" max="16384" width="9.109375" style="1"/>
  </cols>
  <sheetData>
    <row r="2" spans="1:6" ht="15" customHeight="1">
      <c r="A2" s="920" t="s">
        <v>321</v>
      </c>
      <c r="B2" s="920"/>
      <c r="C2" s="920"/>
      <c r="D2" s="920"/>
      <c r="E2" s="10"/>
      <c r="F2" s="10"/>
    </row>
    <row r="3" spans="1:6" ht="15" customHeight="1">
      <c r="A3" s="11"/>
      <c r="B3" s="11"/>
      <c r="C3" s="11"/>
      <c r="D3" s="11"/>
    </row>
    <row r="4" spans="1:6" ht="15" customHeight="1">
      <c r="A4" s="920" t="s">
        <v>245</v>
      </c>
      <c r="B4" s="920"/>
      <c r="C4" s="920"/>
      <c r="D4" s="920"/>
      <c r="E4" s="10"/>
      <c r="F4" s="10"/>
    </row>
    <row r="6" spans="1:6" ht="15" customHeight="1">
      <c r="A6" s="928" t="s">
        <v>386</v>
      </c>
      <c r="B6" s="928"/>
      <c r="C6" s="928"/>
      <c r="D6" s="928"/>
      <c r="E6" s="920"/>
      <c r="F6" s="920"/>
    </row>
    <row r="8" spans="1:6" ht="15" customHeight="1">
      <c r="A8" s="920" t="s">
        <v>365</v>
      </c>
      <c r="B8" s="920"/>
      <c r="C8" s="920"/>
      <c r="D8" s="920"/>
      <c r="E8" s="10"/>
      <c r="F8" s="10"/>
    </row>
    <row r="10" spans="1:6" ht="56.25" customHeight="1">
      <c r="A10" s="2" t="s">
        <v>228</v>
      </c>
      <c r="B10" s="2" t="s">
        <v>248</v>
      </c>
      <c r="C10" s="2" t="s">
        <v>359</v>
      </c>
      <c r="D10" s="2" t="s">
        <v>360</v>
      </c>
    </row>
    <row r="11" spans="1:6">
      <c r="A11" s="2">
        <v>1</v>
      </c>
      <c r="B11" s="2">
        <v>2</v>
      </c>
      <c r="C11" s="2">
        <v>3</v>
      </c>
      <c r="D11" s="2">
        <v>4</v>
      </c>
    </row>
    <row r="12" spans="1:6" ht="28.8">
      <c r="A12" s="2"/>
      <c r="B12" s="15" t="s">
        <v>361</v>
      </c>
      <c r="C12" s="2" t="s">
        <v>241</v>
      </c>
      <c r="D12" s="17"/>
    </row>
    <row r="13" spans="1:6">
      <c r="A13" s="2"/>
      <c r="B13" s="15" t="s">
        <v>341</v>
      </c>
      <c r="C13" s="2"/>
      <c r="D13" s="17"/>
    </row>
    <row r="14" spans="1:6">
      <c r="A14" s="2"/>
      <c r="B14" s="15"/>
      <c r="C14" s="2"/>
      <c r="D14" s="17"/>
    </row>
    <row r="15" spans="1:6" ht="28.8">
      <c r="A15" s="2"/>
      <c r="B15" s="15" t="s">
        <v>362</v>
      </c>
      <c r="C15" s="2" t="s">
        <v>241</v>
      </c>
      <c r="D15" s="17"/>
    </row>
    <row r="16" spans="1:6">
      <c r="A16" s="2"/>
      <c r="B16" s="15" t="s">
        <v>341</v>
      </c>
      <c r="C16" s="2"/>
      <c r="D16" s="17"/>
    </row>
    <row r="17" spans="1:4">
      <c r="A17" s="2"/>
      <c r="B17" s="15"/>
      <c r="C17" s="2"/>
      <c r="D17" s="17"/>
    </row>
    <row r="18" spans="1:4" ht="28.8">
      <c r="A18" s="2"/>
      <c r="B18" s="15" t="s">
        <v>363</v>
      </c>
      <c r="C18" s="2" t="s">
        <v>241</v>
      </c>
      <c r="D18" s="17"/>
    </row>
    <row r="19" spans="1:4" ht="43.2">
      <c r="A19" s="2"/>
      <c r="B19" s="15" t="s">
        <v>364</v>
      </c>
      <c r="C19" s="2"/>
      <c r="D19" s="17"/>
    </row>
    <row r="20" spans="1:4">
      <c r="A20" s="2"/>
      <c r="B20" s="15"/>
      <c r="C20" s="2"/>
      <c r="D20" s="17"/>
    </row>
    <row r="21" spans="1:4">
      <c r="A21" s="2"/>
      <c r="B21" s="15" t="s">
        <v>385</v>
      </c>
      <c r="C21" s="2"/>
      <c r="D21" s="17"/>
    </row>
    <row r="22" spans="1:4">
      <c r="A22" s="13"/>
      <c r="B22" s="12" t="s">
        <v>240</v>
      </c>
      <c r="C22" s="3" t="s">
        <v>241</v>
      </c>
      <c r="D22" s="16"/>
    </row>
    <row r="24" spans="1:4" ht="18" customHeight="1">
      <c r="A24" s="927"/>
      <c r="B24" s="927"/>
      <c r="C24" s="927"/>
      <c r="D24" s="4"/>
    </row>
  </sheetData>
  <mergeCells count="6">
    <mergeCell ref="A24:C24"/>
    <mergeCell ref="E6:F6"/>
    <mergeCell ref="A2:D2"/>
    <mergeCell ref="A4:D4"/>
    <mergeCell ref="A6:D6"/>
    <mergeCell ref="A8:D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4"/>
  <sheetViews>
    <sheetView topLeftCell="A2" workbookViewId="0">
      <selection activeCell="G19" sqref="G19"/>
    </sheetView>
  </sheetViews>
  <sheetFormatPr defaultColWidth="9.109375" defaultRowHeight="14.4"/>
  <cols>
    <col min="1" max="1" width="6.33203125" style="1" customWidth="1"/>
    <col min="2" max="2" width="32.109375" style="1" customWidth="1"/>
    <col min="3" max="3" width="15.109375" style="1" customWidth="1"/>
    <col min="4" max="4" width="17" style="1" customWidth="1"/>
    <col min="5" max="5" width="16.88671875" style="1" customWidth="1"/>
    <col min="6" max="16384" width="9.109375" style="1"/>
  </cols>
  <sheetData>
    <row r="2" spans="1:7" ht="15" customHeight="1">
      <c r="A2" s="920" t="s">
        <v>321</v>
      </c>
      <c r="B2" s="920"/>
      <c r="C2" s="920"/>
      <c r="D2" s="920"/>
      <c r="E2" s="920"/>
      <c r="F2" s="10"/>
      <c r="G2" s="10"/>
    </row>
    <row r="3" spans="1:7" ht="15" customHeight="1">
      <c r="A3" s="11"/>
      <c r="B3" s="11"/>
      <c r="C3" s="11"/>
      <c r="D3" s="11"/>
      <c r="E3" s="11"/>
    </row>
    <row r="4" spans="1:7" ht="15" customHeight="1">
      <c r="A4" s="920" t="s">
        <v>702</v>
      </c>
      <c r="B4" s="920"/>
      <c r="C4" s="920"/>
      <c r="D4" s="920"/>
      <c r="E4" s="920"/>
      <c r="F4" s="10"/>
      <c r="G4" s="10"/>
    </row>
    <row r="6" spans="1:7" ht="15" customHeight="1">
      <c r="A6" s="920" t="s">
        <v>703</v>
      </c>
      <c r="B6" s="920"/>
      <c r="C6" s="920"/>
      <c r="D6" s="920"/>
      <c r="E6" s="920"/>
      <c r="F6" s="920"/>
      <c r="G6" s="920"/>
    </row>
    <row r="8" spans="1:7" ht="15" customHeight="1">
      <c r="A8" s="920" t="s">
        <v>704</v>
      </c>
      <c r="B8" s="920"/>
      <c r="C8" s="920"/>
      <c r="D8" s="920"/>
      <c r="E8" s="920"/>
      <c r="F8" s="10"/>
      <c r="G8" s="10"/>
    </row>
    <row r="10" spans="1:7" ht="42.75" customHeight="1">
      <c r="A10" s="2" t="s">
        <v>228</v>
      </c>
      <c r="B10" s="2" t="s">
        <v>248</v>
      </c>
      <c r="C10" s="2" t="s">
        <v>343</v>
      </c>
      <c r="D10" s="2" t="s">
        <v>366</v>
      </c>
      <c r="E10" s="2" t="s">
        <v>367</v>
      </c>
    </row>
    <row r="11" spans="1:7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7">
      <c r="A12" s="2"/>
      <c r="B12" s="15" t="s">
        <v>368</v>
      </c>
      <c r="C12" s="2" t="s">
        <v>241</v>
      </c>
      <c r="D12" s="2" t="s">
        <v>241</v>
      </c>
      <c r="E12" s="2"/>
    </row>
    <row r="13" spans="1:7">
      <c r="A13" s="2"/>
      <c r="B13" s="15" t="s">
        <v>369</v>
      </c>
      <c r="C13" s="2"/>
      <c r="D13" s="2"/>
      <c r="E13" s="2"/>
    </row>
    <row r="14" spans="1:7">
      <c r="A14" s="2"/>
      <c r="B14" s="15"/>
      <c r="C14" s="2"/>
      <c r="D14" s="2"/>
      <c r="E14" s="2"/>
    </row>
    <row r="15" spans="1:7">
      <c r="A15" s="2"/>
      <c r="B15" s="15"/>
      <c r="C15" s="2"/>
      <c r="D15" s="2"/>
      <c r="E15" s="2"/>
    </row>
    <row r="16" spans="1:7">
      <c r="A16" s="2"/>
      <c r="B16" s="15"/>
      <c r="C16" s="2"/>
      <c r="D16" s="2"/>
      <c r="E16" s="2"/>
    </row>
    <row r="17" spans="1:5">
      <c r="A17" s="2"/>
      <c r="B17" s="15"/>
      <c r="C17" s="2"/>
      <c r="D17" s="2"/>
      <c r="E17" s="2"/>
    </row>
    <row r="18" spans="1:5">
      <c r="A18" s="2"/>
      <c r="B18" s="15"/>
      <c r="C18" s="2"/>
      <c r="D18" s="2"/>
      <c r="E18" s="2"/>
    </row>
    <row r="19" spans="1:5">
      <c r="A19" s="2"/>
      <c r="B19" s="15"/>
      <c r="C19" s="2"/>
      <c r="D19" s="2"/>
      <c r="E19" s="2"/>
    </row>
    <row r="20" spans="1:5">
      <c r="A20" s="2"/>
      <c r="B20" s="15"/>
      <c r="C20" s="2"/>
      <c r="D20" s="2"/>
      <c r="E20" s="2"/>
    </row>
    <row r="21" spans="1:5">
      <c r="A21" s="2"/>
      <c r="B21" s="15"/>
      <c r="C21" s="2"/>
      <c r="D21" s="2"/>
      <c r="E21" s="2"/>
    </row>
    <row r="22" spans="1:5">
      <c r="A22" s="13"/>
      <c r="B22" s="12" t="s">
        <v>240</v>
      </c>
      <c r="C22" s="3"/>
      <c r="D22" s="3" t="s">
        <v>241</v>
      </c>
      <c r="E22" s="3"/>
    </row>
    <row r="24" spans="1:5" ht="18" customHeight="1">
      <c r="A24" s="927"/>
      <c r="B24" s="927"/>
      <c r="C24" s="927"/>
      <c r="D24" s="4"/>
      <c r="E24" s="4"/>
    </row>
  </sheetData>
  <mergeCells count="6">
    <mergeCell ref="F6:G6"/>
    <mergeCell ref="A8:E8"/>
    <mergeCell ref="A24:C24"/>
    <mergeCell ref="A2:E2"/>
    <mergeCell ref="A4:E4"/>
    <mergeCell ref="A6:E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C10" sqref="C10"/>
    </sheetView>
  </sheetViews>
  <sheetFormatPr defaultColWidth="9.109375" defaultRowHeight="14.4"/>
  <cols>
    <col min="1" max="1" width="6.33203125" style="1" customWidth="1"/>
    <col min="2" max="2" width="37.109375" style="1" customWidth="1"/>
    <col min="3" max="3" width="9" style="1" customWidth="1"/>
    <col min="4" max="4" width="12.109375" style="1" customWidth="1"/>
    <col min="5" max="5" width="17" style="1" customWidth="1"/>
    <col min="6" max="6" width="14.33203125" style="1" customWidth="1"/>
    <col min="7" max="16384" width="9.109375" style="1"/>
  </cols>
  <sheetData>
    <row r="2" spans="1:8" ht="15" customHeight="1">
      <c r="A2" s="920" t="s">
        <v>321</v>
      </c>
      <c r="B2" s="920"/>
      <c r="C2" s="920"/>
      <c r="D2" s="920"/>
      <c r="E2" s="920"/>
      <c r="F2" s="920"/>
      <c r="G2" s="10"/>
      <c r="H2" s="10"/>
    </row>
    <row r="3" spans="1:8" ht="15" customHeight="1">
      <c r="A3" s="11"/>
      <c r="B3" s="11"/>
      <c r="C3" s="11"/>
      <c r="D3" s="11"/>
      <c r="E3" s="11"/>
      <c r="F3" s="11"/>
    </row>
    <row r="4" spans="1:8" ht="15" customHeight="1">
      <c r="A4" s="920" t="s">
        <v>718</v>
      </c>
      <c r="B4" s="920"/>
      <c r="C4" s="920"/>
      <c r="D4" s="920"/>
      <c r="E4" s="920"/>
      <c r="F4" s="920"/>
      <c r="G4" s="10"/>
      <c r="H4" s="10"/>
    </row>
    <row r="6" spans="1:8" ht="15" customHeight="1">
      <c r="A6" s="920" t="s">
        <v>756</v>
      </c>
      <c r="B6" s="920"/>
      <c r="C6" s="920"/>
      <c r="D6" s="920"/>
      <c r="E6" s="920"/>
      <c r="F6" s="920"/>
      <c r="G6" s="920"/>
      <c r="H6" s="920"/>
    </row>
    <row r="8" spans="1:8" ht="15" customHeight="1">
      <c r="A8" s="920" t="s">
        <v>711</v>
      </c>
      <c r="B8" s="920"/>
      <c r="C8" s="920"/>
      <c r="D8" s="920"/>
      <c r="E8" s="920"/>
      <c r="F8" s="920"/>
      <c r="G8" s="10"/>
      <c r="H8" s="10"/>
    </row>
    <row r="10" spans="1:8" ht="42.75" customHeight="1">
      <c r="A10" s="2" t="s">
        <v>228</v>
      </c>
      <c r="B10" s="2" t="s">
        <v>248</v>
      </c>
      <c r="C10" s="3" t="s">
        <v>370</v>
      </c>
      <c r="D10" s="2" t="s">
        <v>343</v>
      </c>
      <c r="E10" s="2" t="s">
        <v>371</v>
      </c>
      <c r="F10" s="2" t="s">
        <v>372</v>
      </c>
    </row>
    <row r="11" spans="1:8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8">
      <c r="A12" s="2"/>
      <c r="B12" s="15" t="s">
        <v>373</v>
      </c>
      <c r="C12" s="2" t="s">
        <v>241</v>
      </c>
      <c r="D12" s="2" t="s">
        <v>241</v>
      </c>
      <c r="E12" s="2" t="s">
        <v>241</v>
      </c>
      <c r="F12" s="2" t="s">
        <v>241</v>
      </c>
    </row>
    <row r="13" spans="1:8">
      <c r="A13" s="2"/>
      <c r="B13" s="15" t="s">
        <v>374</v>
      </c>
      <c r="C13" s="2"/>
      <c r="D13" s="2"/>
      <c r="E13" s="2"/>
      <c r="F13" s="2"/>
    </row>
    <row r="14" spans="1:8">
      <c r="A14" s="2"/>
      <c r="B14" s="15" t="s">
        <v>695</v>
      </c>
      <c r="C14" s="703" t="s">
        <v>694</v>
      </c>
      <c r="D14" s="2">
        <v>1</v>
      </c>
      <c r="E14" s="2">
        <v>539000</v>
      </c>
      <c r="F14" s="703">
        <f>E14</f>
        <v>539000</v>
      </c>
    </row>
    <row r="15" spans="1:8">
      <c r="A15" s="2"/>
      <c r="B15" s="15"/>
      <c r="C15" s="714"/>
      <c r="D15" s="2"/>
      <c r="E15" s="2"/>
      <c r="F15" s="703"/>
    </row>
    <row r="16" spans="1:8">
      <c r="A16" s="2"/>
      <c r="B16" s="15"/>
      <c r="C16" s="2"/>
      <c r="D16" s="2"/>
      <c r="E16" s="2"/>
      <c r="F16" s="2"/>
    </row>
    <row r="17" spans="1:6">
      <c r="A17" s="2"/>
      <c r="B17" s="15"/>
      <c r="C17" s="2"/>
      <c r="D17" s="2"/>
      <c r="E17" s="2"/>
      <c r="F17" s="2"/>
    </row>
    <row r="18" spans="1:6">
      <c r="A18" s="13"/>
      <c r="B18" s="12" t="s">
        <v>240</v>
      </c>
      <c r="C18" s="3" t="s">
        <v>241</v>
      </c>
      <c r="D18" s="3" t="s">
        <v>241</v>
      </c>
      <c r="E18" s="3" t="s">
        <v>241</v>
      </c>
      <c r="F18" s="3">
        <f>F14</f>
        <v>539000</v>
      </c>
    </row>
    <row r="20" spans="1:6" ht="18" customHeight="1">
      <c r="A20" s="927"/>
      <c r="B20" s="927"/>
      <c r="C20" s="927"/>
      <c r="D20" s="4"/>
      <c r="E20" s="4"/>
      <c r="F20" s="4"/>
    </row>
  </sheetData>
  <mergeCells count="6">
    <mergeCell ref="G6:H6"/>
    <mergeCell ref="A8:F8"/>
    <mergeCell ref="A20:C20"/>
    <mergeCell ref="A2:F2"/>
    <mergeCell ref="A4:F4"/>
    <mergeCell ref="A6:F6"/>
  </mergeCells>
  <phoneticPr fontId="2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9"/>
  <sheetViews>
    <sheetView topLeftCell="A4" workbookViewId="0">
      <selection activeCell="I12" sqref="I12"/>
    </sheetView>
  </sheetViews>
  <sheetFormatPr defaultColWidth="9.109375" defaultRowHeight="14.4"/>
  <cols>
    <col min="1" max="1" width="6.33203125" style="1" customWidth="1"/>
    <col min="2" max="2" width="27.88671875" style="1" customWidth="1"/>
    <col min="3" max="3" width="12.88671875" style="1" customWidth="1"/>
    <col min="4" max="4" width="12.109375" style="1" customWidth="1"/>
    <col min="5" max="5" width="17" style="1" customWidth="1"/>
    <col min="6" max="6" width="14.33203125" style="1" customWidth="1"/>
    <col min="7" max="16384" width="9.109375" style="1"/>
  </cols>
  <sheetData>
    <row r="2" spans="1:6" ht="15" customHeight="1">
      <c r="A2" s="920" t="s">
        <v>321</v>
      </c>
      <c r="B2" s="920"/>
      <c r="C2" s="920"/>
      <c r="D2" s="920"/>
      <c r="E2" s="920"/>
      <c r="F2" s="920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920" t="s">
        <v>718</v>
      </c>
      <c r="B4" s="920"/>
      <c r="C4" s="920"/>
      <c r="D4" s="920"/>
      <c r="E4" s="920"/>
      <c r="F4" s="920"/>
    </row>
    <row r="6" spans="1:6" ht="15" customHeight="1">
      <c r="A6" s="920" t="s">
        <v>717</v>
      </c>
      <c r="B6" s="920"/>
      <c r="C6" s="920"/>
      <c r="D6" s="920"/>
      <c r="E6" s="920"/>
      <c r="F6" s="920"/>
    </row>
    <row r="8" spans="1:6" ht="15" customHeight="1">
      <c r="A8" s="920" t="s">
        <v>699</v>
      </c>
      <c r="B8" s="920"/>
      <c r="C8" s="920"/>
      <c r="D8" s="920"/>
      <c r="E8" s="920"/>
      <c r="F8" s="920"/>
    </row>
    <row r="10" spans="1:6" ht="42.75" customHeight="1">
      <c r="A10" s="2" t="s">
        <v>228</v>
      </c>
      <c r="B10" s="2" t="s">
        <v>248</v>
      </c>
      <c r="C10" s="3" t="s">
        <v>370</v>
      </c>
      <c r="D10" s="2" t="s">
        <v>343</v>
      </c>
      <c r="E10" s="2" t="s">
        <v>371</v>
      </c>
      <c r="F10" s="2" t="s">
        <v>372</v>
      </c>
    </row>
    <row r="11" spans="1:6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34.5" customHeight="1">
      <c r="A12" s="2"/>
      <c r="B12" s="15" t="s">
        <v>373</v>
      </c>
      <c r="C12" s="2" t="s">
        <v>241</v>
      </c>
      <c r="D12" s="2" t="s">
        <v>241</v>
      </c>
      <c r="E12" s="2" t="s">
        <v>241</v>
      </c>
      <c r="F12" s="2" t="s">
        <v>241</v>
      </c>
    </row>
    <row r="13" spans="1:6" ht="34.5" customHeight="1">
      <c r="A13" s="2"/>
      <c r="B13" s="15" t="s">
        <v>374</v>
      </c>
      <c r="C13" s="2"/>
      <c r="D13" s="2"/>
      <c r="E13" s="2"/>
      <c r="F13" s="2"/>
    </row>
    <row r="14" spans="1:6" ht="43.5" customHeight="1">
      <c r="A14" s="2"/>
      <c r="B14" s="15" t="s">
        <v>753</v>
      </c>
      <c r="C14" s="703" t="s">
        <v>694</v>
      </c>
      <c r="D14" s="2">
        <v>1</v>
      </c>
      <c r="E14" s="2">
        <v>7000</v>
      </c>
      <c r="F14" s="2">
        <f>E14</f>
        <v>7000</v>
      </c>
    </row>
    <row r="15" spans="1:6" ht="34.5" customHeight="1">
      <c r="A15" s="2"/>
      <c r="B15" s="15" t="s">
        <v>754</v>
      </c>
      <c r="C15" s="703" t="s">
        <v>694</v>
      </c>
      <c r="D15" s="2">
        <v>1</v>
      </c>
      <c r="E15" s="2">
        <v>101000</v>
      </c>
      <c r="F15" s="2">
        <f>E15</f>
        <v>101000</v>
      </c>
    </row>
    <row r="16" spans="1:6">
      <c r="A16" s="2"/>
      <c r="B16" s="15"/>
      <c r="C16" s="2"/>
      <c r="D16" s="2"/>
      <c r="E16" s="2"/>
      <c r="F16" s="2"/>
    </row>
    <row r="17" spans="1:6">
      <c r="A17" s="13"/>
      <c r="B17" s="12" t="s">
        <v>240</v>
      </c>
      <c r="C17" s="3" t="s">
        <v>241</v>
      </c>
      <c r="D17" s="3" t="s">
        <v>241</v>
      </c>
      <c r="E17" s="3" t="s">
        <v>241</v>
      </c>
      <c r="F17" s="3">
        <f>F14+F15</f>
        <v>108000</v>
      </c>
    </row>
    <row r="19" spans="1:6" ht="18" customHeight="1">
      <c r="A19" s="927"/>
      <c r="B19" s="927"/>
      <c r="C19" s="927"/>
      <c r="D19" s="4"/>
      <c r="E19" s="4"/>
      <c r="F19" s="4"/>
    </row>
  </sheetData>
  <mergeCells count="5">
    <mergeCell ref="A8:F8"/>
    <mergeCell ref="A19:C19"/>
    <mergeCell ref="A2:F2"/>
    <mergeCell ref="A4:F4"/>
    <mergeCell ref="A6:F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262"/>
  <sheetViews>
    <sheetView topLeftCell="A39" zoomScale="70" zoomScaleNormal="70" workbookViewId="0">
      <selection activeCell="G249" sqref="G249:O249"/>
    </sheetView>
  </sheetViews>
  <sheetFormatPr defaultColWidth="9.109375" defaultRowHeight="14.4"/>
  <cols>
    <col min="1" max="1" width="4.5546875" style="40" customWidth="1"/>
    <col min="2" max="2" width="15.6640625" style="40" customWidth="1"/>
    <col min="3" max="3" width="33.109375" style="40" customWidth="1"/>
    <col min="4" max="4" width="23.6640625" style="40" customWidth="1"/>
    <col min="5" max="5" width="18.33203125" style="40" customWidth="1"/>
    <col min="6" max="6" width="17" style="40" customWidth="1"/>
    <col min="7" max="7" width="14.88671875" style="40" customWidth="1"/>
    <col min="8" max="8" width="14.44140625" style="40" customWidth="1"/>
    <col min="9" max="9" width="16.88671875" style="40" customWidth="1"/>
    <col min="10" max="10" width="16.33203125" style="40" customWidth="1"/>
    <col min="11" max="11" width="17.44140625" style="40" customWidth="1"/>
    <col min="12" max="12" width="11.33203125" style="40" customWidth="1"/>
    <col min="13" max="13" width="16.109375" style="40" customWidth="1"/>
    <col min="14" max="14" width="16.88671875" style="40" customWidth="1"/>
    <col min="15" max="15" width="15.88671875" style="40" customWidth="1"/>
    <col min="16" max="16" width="13.88671875" style="40" customWidth="1"/>
    <col min="17" max="17" width="11.5546875" style="40" customWidth="1"/>
    <col min="18" max="18" width="13.88671875" style="40" customWidth="1"/>
    <col min="19" max="19" width="13.5546875" style="40" customWidth="1"/>
    <col min="20" max="20" width="11.6640625" style="40" customWidth="1"/>
    <col min="21" max="21" width="13.44140625" style="40" customWidth="1"/>
    <col min="22" max="22" width="12" style="40" customWidth="1"/>
    <col min="23" max="23" width="10.44140625" style="40" customWidth="1"/>
    <col min="24" max="24" width="12.88671875" style="40" customWidth="1"/>
    <col min="25" max="25" width="33.109375" style="40" customWidth="1"/>
    <col min="26" max="26" width="17.88671875" style="40" customWidth="1"/>
    <col min="27" max="27" width="12" style="40" bestFit="1" customWidth="1"/>
    <col min="28" max="28" width="10.6640625" style="40" customWidth="1"/>
    <col min="29" max="29" width="15.5546875" style="40" bestFit="1" customWidth="1"/>
    <col min="30" max="30" width="12" style="40" customWidth="1"/>
    <col min="31" max="31" width="16" style="40" customWidth="1"/>
    <col min="32" max="32" width="12.5546875" style="40" customWidth="1"/>
    <col min="33" max="33" width="13.33203125" style="40" customWidth="1"/>
    <col min="34" max="34" width="12.109375" style="40" customWidth="1"/>
    <col min="35" max="36" width="11.33203125" style="40" bestFit="1" customWidth="1"/>
    <col min="37" max="37" width="13.33203125" style="40" bestFit="1" customWidth="1"/>
    <col min="38" max="38" width="13.5546875" style="40" customWidth="1"/>
    <col min="39" max="39" width="13.33203125" style="40" bestFit="1" customWidth="1"/>
    <col min="40" max="40" width="11.88671875" style="40" customWidth="1"/>
    <col min="41" max="41" width="16.88671875" style="40" bestFit="1" customWidth="1"/>
    <col min="42" max="42" width="12.44140625" style="40" bestFit="1" customWidth="1"/>
    <col min="43" max="43" width="15.44140625" style="40" bestFit="1" customWidth="1"/>
    <col min="44" max="44" width="15.5546875" style="41" customWidth="1"/>
    <col min="45" max="45" width="13.88671875" style="42" customWidth="1"/>
    <col min="46" max="46" width="11.5546875" style="41" customWidth="1"/>
    <col min="47" max="47" width="9.109375" style="40"/>
    <col min="48" max="48" width="14.88671875" style="40" customWidth="1"/>
    <col min="49" max="51" width="9.109375" style="40"/>
    <col min="52" max="52" width="12" style="40" customWidth="1"/>
    <col min="53" max="53" width="9.109375" style="40"/>
    <col min="54" max="54" width="12.5546875" style="40" customWidth="1"/>
    <col min="55" max="16384" width="9.109375" style="40"/>
  </cols>
  <sheetData>
    <row r="1" spans="2:46" ht="12.75" hidden="1" customHeight="1"/>
    <row r="2" spans="2:46" ht="34.5" customHeight="1">
      <c r="B2" s="43"/>
      <c r="C2" s="43"/>
      <c r="D2" s="43"/>
      <c r="E2" s="44" t="s">
        <v>391</v>
      </c>
      <c r="F2" s="43"/>
      <c r="G2" s="43"/>
      <c r="H2" s="44" t="s">
        <v>392</v>
      </c>
      <c r="I2" s="42" t="s">
        <v>393</v>
      </c>
      <c r="J2" s="44" t="s">
        <v>394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395</v>
      </c>
      <c r="W2" s="44"/>
      <c r="X2" s="44"/>
      <c r="Y2" s="44"/>
      <c r="Z2" s="44"/>
      <c r="AA2" s="44"/>
      <c r="AB2" s="44"/>
      <c r="AC2" s="48"/>
      <c r="AD2" s="48"/>
      <c r="AE2" s="45"/>
      <c r="AF2" s="48"/>
      <c r="AG2" s="48"/>
      <c r="AH2" s="48"/>
      <c r="AI2" s="48"/>
    </row>
    <row r="3" spans="2:46" ht="65.25" customHeight="1">
      <c r="B3" s="45"/>
      <c r="C3" s="45"/>
      <c r="D3" s="45"/>
      <c r="E3" s="950" t="s">
        <v>396</v>
      </c>
      <c r="F3" s="951"/>
      <c r="G3" s="49"/>
      <c r="H3" s="50">
        <f>H4+H7</f>
        <v>1119</v>
      </c>
      <c r="I3" s="50">
        <f>I4+I7</f>
        <v>1166</v>
      </c>
      <c r="J3" s="50">
        <f>J4+J7</f>
        <v>57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7"/>
      <c r="V3" s="47" t="s">
        <v>397</v>
      </c>
      <c r="W3" s="44"/>
      <c r="X3" s="44"/>
      <c r="Y3" s="44"/>
      <c r="Z3" s="44"/>
      <c r="AA3" s="44"/>
      <c r="AB3" s="44"/>
      <c r="AC3" s="48"/>
      <c r="AD3" s="48"/>
      <c r="AE3" s="45"/>
      <c r="AF3" s="48"/>
      <c r="AG3" s="48"/>
      <c r="AH3" s="48"/>
      <c r="AI3" s="48"/>
    </row>
    <row r="4" spans="2:46" ht="12.75" customHeight="1">
      <c r="B4" s="45"/>
      <c r="C4" s="45"/>
      <c r="D4" s="45"/>
      <c r="E4" s="51" t="s">
        <v>398</v>
      </c>
      <c r="F4" s="51"/>
      <c r="G4" s="49"/>
      <c r="H4" s="50">
        <f>H5+H6</f>
        <v>1019</v>
      </c>
      <c r="I4" s="50">
        <f>I5+I6</f>
        <v>1062</v>
      </c>
      <c r="J4" s="50">
        <f>J5+J6</f>
        <v>57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7"/>
      <c r="V4" s="47"/>
      <c r="W4" s="44"/>
      <c r="X4" s="44"/>
      <c r="Y4" s="44"/>
      <c r="Z4" s="44"/>
      <c r="AA4" s="44"/>
      <c r="AB4" s="44"/>
      <c r="AC4" s="48"/>
      <c r="AD4" s="48"/>
      <c r="AE4" s="45"/>
      <c r="AF4" s="48"/>
      <c r="AG4" s="48"/>
      <c r="AH4" s="48"/>
      <c r="AI4" s="48"/>
    </row>
    <row r="5" spans="2:46" ht="12.75" customHeight="1">
      <c r="B5" s="45"/>
      <c r="C5" s="52"/>
      <c r="D5" s="53"/>
      <c r="E5" s="54" t="s">
        <v>399</v>
      </c>
      <c r="F5" s="49"/>
      <c r="G5" s="49"/>
      <c r="H5" s="55">
        <v>726</v>
      </c>
      <c r="I5" s="56">
        <v>774</v>
      </c>
      <c r="J5" s="55">
        <v>57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7"/>
      <c r="V5" s="57" t="s">
        <v>400</v>
      </c>
      <c r="W5" s="44"/>
      <c r="X5" s="44"/>
      <c r="Y5" s="44"/>
      <c r="Z5" s="44"/>
      <c r="AA5" s="44"/>
      <c r="AB5" s="44"/>
      <c r="AC5" s="48"/>
      <c r="AD5" s="48"/>
      <c r="AE5" s="45"/>
      <c r="AF5" s="48"/>
      <c r="AG5" s="48"/>
      <c r="AH5" s="48"/>
      <c r="AI5" s="48"/>
    </row>
    <row r="6" spans="2:46" ht="12.75" customHeight="1">
      <c r="B6" s="45"/>
      <c r="C6" s="53"/>
      <c r="D6" s="53"/>
      <c r="E6" s="54" t="s">
        <v>401</v>
      </c>
      <c r="F6" s="49"/>
      <c r="G6" s="49"/>
      <c r="H6" s="55">
        <v>293</v>
      </c>
      <c r="I6" s="55">
        <v>288</v>
      </c>
      <c r="J6" s="55"/>
      <c r="K6" s="45"/>
      <c r="L6" s="45"/>
      <c r="M6" s="45"/>
      <c r="N6" s="45"/>
      <c r="O6" s="45"/>
      <c r="P6" s="45"/>
      <c r="Q6" s="45"/>
      <c r="R6" s="45"/>
      <c r="S6" s="45"/>
      <c r="T6" s="45"/>
      <c r="U6" s="47"/>
      <c r="V6" s="57" t="s">
        <v>402</v>
      </c>
      <c r="W6" s="44"/>
      <c r="X6" s="44"/>
      <c r="Y6" s="44"/>
      <c r="Z6" s="58"/>
      <c r="AA6" s="44"/>
      <c r="AB6" s="44"/>
      <c r="AC6" s="48"/>
      <c r="AD6" s="48"/>
      <c r="AE6" s="45"/>
      <c r="AF6" s="48"/>
      <c r="AG6" s="48"/>
      <c r="AH6" s="48"/>
      <c r="AI6" s="48"/>
    </row>
    <row r="7" spans="2:46" ht="13.5" customHeight="1">
      <c r="B7" s="45"/>
      <c r="C7" s="53"/>
      <c r="D7" s="53"/>
      <c r="E7" s="51" t="s">
        <v>403</v>
      </c>
      <c r="F7" s="49"/>
      <c r="G7" s="49"/>
      <c r="H7" s="55">
        <v>100</v>
      </c>
      <c r="I7" s="55">
        <v>104</v>
      </c>
      <c r="J7" s="55"/>
      <c r="K7" s="45"/>
      <c r="L7" s="59" t="s">
        <v>404</v>
      </c>
      <c r="M7" s="45"/>
      <c r="N7" s="45"/>
      <c r="O7" s="45"/>
      <c r="P7" s="45"/>
      <c r="Q7" s="45"/>
      <c r="R7" s="45"/>
      <c r="S7" s="45"/>
      <c r="T7" s="45"/>
      <c r="U7" s="47"/>
      <c r="V7" s="47" t="s">
        <v>405</v>
      </c>
      <c r="W7" s="44"/>
      <c r="X7" s="60" t="e">
        <f>E145</f>
        <v>#REF!</v>
      </c>
      <c r="Y7" s="44" t="s">
        <v>406</v>
      </c>
      <c r="Z7" s="44"/>
      <c r="AA7" s="44"/>
      <c r="AB7" s="44"/>
      <c r="AC7" s="48"/>
      <c r="AD7" s="48"/>
      <c r="AE7" s="45"/>
      <c r="AF7" s="48"/>
      <c r="AG7" s="48"/>
      <c r="AH7" s="48"/>
      <c r="AI7" s="48"/>
    </row>
    <row r="8" spans="2:46" ht="13.5" customHeight="1">
      <c r="B8" s="45"/>
      <c r="C8" s="53"/>
      <c r="D8" s="53"/>
      <c r="E8" s="51" t="s">
        <v>407</v>
      </c>
      <c r="F8" s="49"/>
      <c r="G8" s="49"/>
      <c r="H8" s="55">
        <v>0</v>
      </c>
      <c r="I8" s="55">
        <v>0</v>
      </c>
      <c r="J8" s="55">
        <v>0</v>
      </c>
      <c r="K8" s="45"/>
      <c r="L8" s="59" t="s">
        <v>408</v>
      </c>
      <c r="M8" s="45"/>
      <c r="N8" s="45"/>
      <c r="O8" s="45"/>
      <c r="P8" s="45"/>
      <c r="Q8" s="45"/>
      <c r="R8" s="45"/>
      <c r="S8" s="45"/>
      <c r="T8" s="45"/>
      <c r="U8" s="47"/>
      <c r="V8" s="44"/>
      <c r="W8" s="44"/>
      <c r="X8" s="61"/>
      <c r="Y8" s="44"/>
      <c r="Z8" s="44"/>
      <c r="AA8" s="44"/>
      <c r="AB8" s="44"/>
      <c r="AC8" s="48"/>
      <c r="AD8" s="48"/>
      <c r="AE8" s="45"/>
      <c r="AF8" s="48"/>
      <c r="AG8" s="48"/>
      <c r="AH8" s="48"/>
      <c r="AI8" s="48"/>
    </row>
    <row r="9" spans="2:46" ht="7.5" customHeight="1">
      <c r="B9" s="45"/>
      <c r="C9" s="53"/>
      <c r="D9" s="5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7"/>
      <c r="V9" s="44"/>
      <c r="W9" s="44"/>
      <c r="X9" s="44"/>
      <c r="Y9" s="44"/>
      <c r="Z9" s="44"/>
      <c r="AA9" s="44"/>
      <c r="AB9" s="44"/>
      <c r="AC9" s="48"/>
      <c r="AD9" s="48"/>
      <c r="AE9" s="45"/>
      <c r="AF9" s="48"/>
      <c r="AG9" s="48"/>
      <c r="AH9" s="48"/>
      <c r="AI9" s="48"/>
    </row>
    <row r="10" spans="2:46" s="63" customFormat="1" ht="57.75" customHeight="1">
      <c r="B10" s="929" t="s">
        <v>409</v>
      </c>
      <c r="C10" s="932" t="s">
        <v>410</v>
      </c>
      <c r="D10" s="521"/>
      <c r="E10" s="935" t="s">
        <v>411</v>
      </c>
      <c r="F10" s="935" t="s">
        <v>412</v>
      </c>
      <c r="G10" s="935" t="s">
        <v>413</v>
      </c>
      <c r="H10" s="935" t="s">
        <v>414</v>
      </c>
      <c r="I10" s="935" t="s">
        <v>415</v>
      </c>
      <c r="J10" s="946" t="s">
        <v>416</v>
      </c>
      <c r="K10" s="929" t="s">
        <v>417</v>
      </c>
      <c r="L10" s="952" t="s">
        <v>418</v>
      </c>
      <c r="M10" s="953"/>
      <c r="N10" s="953"/>
      <c r="O10" s="954"/>
      <c r="P10" s="941" t="s">
        <v>419</v>
      </c>
      <c r="Q10" s="952" t="s">
        <v>420</v>
      </c>
      <c r="R10" s="966"/>
      <c r="S10" s="941" t="s">
        <v>421</v>
      </c>
      <c r="T10" s="971" t="s">
        <v>422</v>
      </c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3"/>
      <c r="AF10" s="938" t="s">
        <v>423</v>
      </c>
      <c r="AG10" s="938" t="s">
        <v>424</v>
      </c>
      <c r="AH10" s="62"/>
      <c r="AI10" s="62"/>
      <c r="AR10" s="64"/>
      <c r="AT10" s="64"/>
    </row>
    <row r="11" spans="2:46" s="63" customFormat="1" ht="19.5" customHeight="1">
      <c r="B11" s="930"/>
      <c r="C11" s="933"/>
      <c r="D11" s="522" t="s">
        <v>425</v>
      </c>
      <c r="E11" s="936"/>
      <c r="F11" s="936"/>
      <c r="G11" s="936"/>
      <c r="H11" s="936"/>
      <c r="I11" s="961"/>
      <c r="J11" s="947"/>
      <c r="K11" s="949"/>
      <c r="L11" s="955"/>
      <c r="M11" s="956"/>
      <c r="N11" s="956"/>
      <c r="O11" s="957"/>
      <c r="P11" s="942"/>
      <c r="Q11" s="967"/>
      <c r="R11" s="968"/>
      <c r="S11" s="942"/>
      <c r="T11" s="974"/>
      <c r="U11" s="975"/>
      <c r="V11" s="975"/>
      <c r="W11" s="975"/>
      <c r="X11" s="975"/>
      <c r="Y11" s="975"/>
      <c r="Z11" s="975"/>
      <c r="AA11" s="975"/>
      <c r="AB11" s="975"/>
      <c r="AC11" s="975"/>
      <c r="AD11" s="975"/>
      <c r="AE11" s="976"/>
      <c r="AF11" s="939"/>
      <c r="AG11" s="939"/>
      <c r="AH11" s="62"/>
      <c r="AI11" s="62"/>
      <c r="AR11" s="64"/>
      <c r="AT11" s="64"/>
    </row>
    <row r="12" spans="2:46" s="63" customFormat="1" ht="52.5" customHeight="1">
      <c r="B12" s="930"/>
      <c r="C12" s="933"/>
      <c r="D12" s="522"/>
      <c r="E12" s="936"/>
      <c r="F12" s="936"/>
      <c r="G12" s="936"/>
      <c r="H12" s="936"/>
      <c r="I12" s="961"/>
      <c r="J12" s="947"/>
      <c r="K12" s="949"/>
      <c r="L12" s="978" t="s">
        <v>426</v>
      </c>
      <c r="M12" s="945"/>
      <c r="N12" s="977" t="s">
        <v>427</v>
      </c>
      <c r="O12" s="945"/>
      <c r="P12" s="942"/>
      <c r="Q12" s="969"/>
      <c r="R12" s="970"/>
      <c r="S12" s="942"/>
      <c r="T12" s="977" t="s">
        <v>428</v>
      </c>
      <c r="U12" s="979"/>
      <c r="V12" s="960" t="s">
        <v>429</v>
      </c>
      <c r="W12" s="960" t="s">
        <v>430</v>
      </c>
      <c r="X12" s="977" t="s">
        <v>431</v>
      </c>
      <c r="Y12" s="945"/>
      <c r="Z12" s="944" t="s">
        <v>432</v>
      </c>
      <c r="AA12" s="945"/>
      <c r="AB12" s="944" t="s">
        <v>433</v>
      </c>
      <c r="AC12" s="945"/>
      <c r="AD12" s="958" t="s">
        <v>434</v>
      </c>
      <c r="AE12" s="929" t="s">
        <v>435</v>
      </c>
      <c r="AF12" s="939"/>
      <c r="AG12" s="939"/>
      <c r="AH12" s="62"/>
      <c r="AI12" s="62"/>
      <c r="AK12" s="65"/>
      <c r="AR12" s="64"/>
      <c r="AT12" s="64"/>
    </row>
    <row r="13" spans="2:46" s="63" customFormat="1" ht="42.75" customHeight="1">
      <c r="B13" s="931"/>
      <c r="C13" s="934"/>
      <c r="D13" s="523"/>
      <c r="E13" s="937"/>
      <c r="F13" s="937"/>
      <c r="G13" s="937"/>
      <c r="H13" s="937"/>
      <c r="I13" s="962"/>
      <c r="J13" s="948"/>
      <c r="K13" s="943"/>
      <c r="L13" s="66" t="s">
        <v>436</v>
      </c>
      <c r="M13" s="520" t="s">
        <v>437</v>
      </c>
      <c r="N13" s="524" t="s">
        <v>438</v>
      </c>
      <c r="O13" s="520" t="s">
        <v>437</v>
      </c>
      <c r="P13" s="943"/>
      <c r="Q13" s="524" t="s">
        <v>438</v>
      </c>
      <c r="R13" s="520" t="s">
        <v>437</v>
      </c>
      <c r="S13" s="943"/>
      <c r="T13" s="524" t="s">
        <v>439</v>
      </c>
      <c r="U13" s="520" t="s">
        <v>440</v>
      </c>
      <c r="V13" s="980"/>
      <c r="W13" s="959"/>
      <c r="X13" s="524" t="s">
        <v>441</v>
      </c>
      <c r="Y13" s="524" t="s">
        <v>442</v>
      </c>
      <c r="Z13" s="524" t="s">
        <v>443</v>
      </c>
      <c r="AA13" s="524" t="s">
        <v>442</v>
      </c>
      <c r="AB13" s="524" t="s">
        <v>443</v>
      </c>
      <c r="AC13" s="524" t="s">
        <v>442</v>
      </c>
      <c r="AD13" s="959"/>
      <c r="AE13" s="940"/>
      <c r="AF13" s="940"/>
      <c r="AG13" s="940"/>
      <c r="AH13" s="62"/>
      <c r="AI13" s="62"/>
      <c r="AK13" s="65"/>
      <c r="AR13" s="64"/>
      <c r="AT13" s="64"/>
    </row>
    <row r="14" spans="2:46" ht="15" customHeight="1">
      <c r="B14" s="67">
        <v>1</v>
      </c>
      <c r="C14" s="67">
        <v>2</v>
      </c>
      <c r="D14" s="67"/>
      <c r="E14" s="68">
        <v>3</v>
      </c>
      <c r="F14" s="68">
        <v>4</v>
      </c>
      <c r="G14" s="68">
        <v>5</v>
      </c>
      <c r="H14" s="68">
        <v>6</v>
      </c>
      <c r="I14" s="69">
        <v>7</v>
      </c>
      <c r="J14" s="69">
        <v>8</v>
      </c>
      <c r="K14" s="69">
        <v>9</v>
      </c>
      <c r="L14" s="69">
        <v>10</v>
      </c>
      <c r="M14" s="69">
        <v>11</v>
      </c>
      <c r="N14" s="69">
        <v>12</v>
      </c>
      <c r="O14" s="69">
        <v>13</v>
      </c>
      <c r="P14" s="664">
        <v>14</v>
      </c>
      <c r="Q14" s="69">
        <v>15</v>
      </c>
      <c r="R14" s="664">
        <v>16</v>
      </c>
      <c r="S14" s="664">
        <v>17</v>
      </c>
      <c r="T14" s="69">
        <v>18</v>
      </c>
      <c r="U14" s="70">
        <v>19</v>
      </c>
      <c r="V14" s="71">
        <v>20</v>
      </c>
      <c r="W14" s="71">
        <v>21</v>
      </c>
      <c r="X14" s="71">
        <v>22</v>
      </c>
      <c r="Y14" s="71">
        <v>23</v>
      </c>
      <c r="Z14" s="71">
        <v>24</v>
      </c>
      <c r="AA14" s="71">
        <v>25</v>
      </c>
      <c r="AB14" s="71">
        <v>26</v>
      </c>
      <c r="AC14" s="72">
        <v>27</v>
      </c>
      <c r="AD14" s="72">
        <v>28</v>
      </c>
      <c r="AE14" s="72">
        <v>29</v>
      </c>
      <c r="AF14" s="72">
        <v>30</v>
      </c>
      <c r="AG14" s="72">
        <v>31</v>
      </c>
      <c r="AH14" s="48"/>
      <c r="AI14" s="48"/>
    </row>
    <row r="15" spans="2:46" ht="24.75" customHeight="1">
      <c r="B15" s="73"/>
      <c r="C15" s="74" t="s">
        <v>379</v>
      </c>
      <c r="D15" s="74"/>
      <c r="E15" s="73"/>
      <c r="F15" s="73"/>
      <c r="G15" s="73"/>
      <c r="H15" s="73"/>
      <c r="I15" s="73"/>
      <c r="J15" s="73"/>
      <c r="K15" s="75"/>
      <c r="L15" s="73"/>
      <c r="M15" s="73"/>
      <c r="N15" s="73"/>
      <c r="O15" s="73"/>
      <c r="P15" s="75"/>
      <c r="Q15" s="73"/>
      <c r="R15" s="73"/>
      <c r="S15" s="75"/>
      <c r="T15" s="73"/>
      <c r="U15" s="76"/>
      <c r="V15" s="77"/>
      <c r="W15" s="77"/>
      <c r="X15" s="77"/>
      <c r="Y15" s="77"/>
      <c r="Z15" s="77"/>
      <c r="AA15" s="77"/>
      <c r="AB15" s="77"/>
      <c r="AC15" s="73"/>
      <c r="AD15" s="73"/>
      <c r="AE15" s="73"/>
      <c r="AF15" s="75"/>
      <c r="AG15" s="75"/>
      <c r="AH15" s="48"/>
      <c r="AI15" s="48"/>
    </row>
    <row r="16" spans="2:46" s="90" customFormat="1" ht="15" customHeight="1">
      <c r="B16" s="78">
        <v>1</v>
      </c>
      <c r="C16" s="79" t="s">
        <v>444</v>
      </c>
      <c r="D16" s="80"/>
      <c r="E16" s="81">
        <v>1</v>
      </c>
      <c r="F16" s="82"/>
      <c r="G16" s="83"/>
      <c r="H16" s="81">
        <v>36563</v>
      </c>
      <c r="I16" s="81"/>
      <c r="J16" s="78"/>
      <c r="K16" s="84">
        <f t="shared" ref="K16:K33" si="0">INT(IF(AND(H16="",I16="",J16=""),0,IF(H16="",1,H16)*IF(I16="",1,I16)*IF(J16="",1,J16)))</f>
        <v>36563</v>
      </c>
      <c r="L16" s="78"/>
      <c r="M16" s="84">
        <f>L16*$K16</f>
        <v>0</v>
      </c>
      <c r="N16" s="78"/>
      <c r="O16" s="84">
        <f>N16*$K16</f>
        <v>0</v>
      </c>
      <c r="P16" s="84">
        <f>(K16+M16+O16)*E16</f>
        <v>36563</v>
      </c>
      <c r="Q16" s="78"/>
      <c r="R16" s="84">
        <f>Q16*$K16*E16</f>
        <v>0</v>
      </c>
      <c r="S16" s="84">
        <f>(P16+R16)</f>
        <v>36563</v>
      </c>
      <c r="T16" s="85"/>
      <c r="U16" s="5">
        <f>S16*T16/100</f>
        <v>0</v>
      </c>
      <c r="V16" s="86"/>
      <c r="W16" s="78"/>
      <c r="X16" s="87"/>
      <c r="Y16" s="86"/>
      <c r="Z16" s="78"/>
      <c r="AA16" s="87"/>
      <c r="AB16" s="86"/>
      <c r="AC16" s="78"/>
      <c r="AD16" s="87"/>
      <c r="AE16" s="88">
        <f>U16+V16+W16+Y16+AA16+AC16+AD16</f>
        <v>0</v>
      </c>
      <c r="AF16" s="75">
        <f t="shared" ref="AF16:AF33" si="1">(S16+AE16)*0.3</f>
        <v>10968.9</v>
      </c>
      <c r="AG16" s="84">
        <f>S16+AE16+AF16</f>
        <v>47531.9</v>
      </c>
      <c r="AH16" s="89"/>
      <c r="AI16" s="89"/>
      <c r="AR16" s="91"/>
      <c r="AS16" s="92"/>
      <c r="AT16" s="91"/>
    </row>
    <row r="17" spans="2:46" s="90" customFormat="1" ht="15" customHeight="1">
      <c r="B17" s="78">
        <v>2</v>
      </c>
      <c r="C17" s="93" t="s">
        <v>445</v>
      </c>
      <c r="D17" s="94"/>
      <c r="E17" s="93">
        <v>1</v>
      </c>
      <c r="F17" s="82"/>
      <c r="G17" s="94"/>
      <c r="H17" s="93">
        <v>21938</v>
      </c>
      <c r="I17" s="93"/>
      <c r="J17" s="5"/>
      <c r="K17" s="84">
        <f t="shared" si="0"/>
        <v>21938</v>
      </c>
      <c r="L17" s="5"/>
      <c r="M17" s="84">
        <f t="shared" ref="M17:M33" si="2">L17*$K17</f>
        <v>0</v>
      </c>
      <c r="N17" s="95">
        <v>0</v>
      </c>
      <c r="O17" s="84">
        <f t="shared" ref="O17:O33" si="3">N17*$K17</f>
        <v>0</v>
      </c>
      <c r="P17" s="84">
        <f t="shared" ref="P17:P33" si="4">(K17+M17+O17)*E17</f>
        <v>21938</v>
      </c>
      <c r="Q17" s="5"/>
      <c r="R17" s="84">
        <f t="shared" ref="R17:R33" si="5">Q17*$K17*E17</f>
        <v>0</v>
      </c>
      <c r="S17" s="84">
        <f t="shared" ref="S17:S33" si="6">(P17+R17)</f>
        <v>21938</v>
      </c>
      <c r="T17" s="95">
        <v>4</v>
      </c>
      <c r="U17" s="5">
        <f t="shared" ref="U17:U33" si="7">S17*T17/100</f>
        <v>877.52</v>
      </c>
      <c r="V17" s="5"/>
      <c r="W17" s="5"/>
      <c r="X17" s="5"/>
      <c r="Y17" s="5"/>
      <c r="Z17" s="5"/>
      <c r="AA17" s="5"/>
      <c r="AB17" s="5"/>
      <c r="AC17" s="5"/>
      <c r="AD17" s="5">
        <v>2193.8000000000002</v>
      </c>
      <c r="AE17" s="88">
        <f t="shared" ref="AE17:AE33" si="8">U17+V17+W17+Y17+AA17+AC17+AD17</f>
        <v>3071.32</v>
      </c>
      <c r="AF17" s="75">
        <f t="shared" si="1"/>
        <v>7502.7959999999994</v>
      </c>
      <c r="AG17" s="84">
        <f t="shared" ref="AG17:AG33" si="9">S17+AE17+AF17</f>
        <v>32512.115999999998</v>
      </c>
      <c r="AH17" s="89"/>
      <c r="AI17" s="89"/>
      <c r="AR17" s="91"/>
      <c r="AS17" s="92"/>
      <c r="AT17" s="91"/>
    </row>
    <row r="18" spans="2:46" s="90" customFormat="1" ht="15" customHeight="1">
      <c r="B18" s="78">
        <v>3</v>
      </c>
      <c r="C18" s="93" t="s">
        <v>446</v>
      </c>
      <c r="D18" s="94"/>
      <c r="E18" s="93">
        <v>1</v>
      </c>
      <c r="F18" s="82"/>
      <c r="G18" s="94"/>
      <c r="H18" s="93">
        <v>20110</v>
      </c>
      <c r="I18" s="93"/>
      <c r="J18" s="5"/>
      <c r="K18" s="84">
        <f t="shared" si="0"/>
        <v>20110</v>
      </c>
      <c r="L18" s="5"/>
      <c r="M18" s="84">
        <f t="shared" si="2"/>
        <v>0</v>
      </c>
      <c r="N18" s="95">
        <v>0</v>
      </c>
      <c r="O18" s="84">
        <f t="shared" si="3"/>
        <v>0</v>
      </c>
      <c r="P18" s="84">
        <f t="shared" si="4"/>
        <v>20110</v>
      </c>
      <c r="Q18" s="5"/>
      <c r="R18" s="84">
        <f t="shared" si="5"/>
        <v>0</v>
      </c>
      <c r="S18" s="84">
        <f t="shared" si="6"/>
        <v>20110</v>
      </c>
      <c r="T18" s="95">
        <v>4</v>
      </c>
      <c r="U18" s="5">
        <f t="shared" si="7"/>
        <v>804.4</v>
      </c>
      <c r="V18" s="5"/>
      <c r="W18" s="5"/>
      <c r="X18" s="5"/>
      <c r="Y18" s="5"/>
      <c r="Z18" s="5"/>
      <c r="AA18" s="5"/>
      <c r="AB18" s="5"/>
      <c r="AC18" s="5"/>
      <c r="AD18" s="5">
        <v>2011</v>
      </c>
      <c r="AE18" s="88">
        <f t="shared" si="8"/>
        <v>2815.4</v>
      </c>
      <c r="AF18" s="75">
        <f t="shared" si="1"/>
        <v>6877.62</v>
      </c>
      <c r="AG18" s="84">
        <f t="shared" si="9"/>
        <v>29803.02</v>
      </c>
      <c r="AH18" s="89"/>
      <c r="AI18" s="89"/>
      <c r="AR18" s="91"/>
      <c r="AS18" s="92"/>
      <c r="AT18" s="91"/>
    </row>
    <row r="19" spans="2:46" s="90" customFormat="1" ht="15" customHeight="1">
      <c r="B19" s="78">
        <v>4</v>
      </c>
      <c r="C19" s="93" t="s">
        <v>447</v>
      </c>
      <c r="D19" s="94"/>
      <c r="E19" s="93">
        <v>1</v>
      </c>
      <c r="F19" s="82"/>
      <c r="G19" s="94"/>
      <c r="H19" s="93">
        <v>20110</v>
      </c>
      <c r="I19" s="93"/>
      <c r="J19" s="5"/>
      <c r="K19" s="84">
        <f t="shared" si="0"/>
        <v>20110</v>
      </c>
      <c r="L19" s="5"/>
      <c r="M19" s="84">
        <f t="shared" si="2"/>
        <v>0</v>
      </c>
      <c r="N19" s="5"/>
      <c r="O19" s="84">
        <f t="shared" si="3"/>
        <v>0</v>
      </c>
      <c r="P19" s="84">
        <f t="shared" si="4"/>
        <v>20110</v>
      </c>
      <c r="Q19" s="5"/>
      <c r="R19" s="84">
        <f t="shared" si="5"/>
        <v>0</v>
      </c>
      <c r="S19" s="84">
        <f t="shared" si="6"/>
        <v>20110</v>
      </c>
      <c r="T19" s="95">
        <v>4</v>
      </c>
      <c r="U19" s="5">
        <f t="shared" si="7"/>
        <v>804.4</v>
      </c>
      <c r="V19" s="5"/>
      <c r="W19" s="5"/>
      <c r="X19" s="5"/>
      <c r="Y19" s="5"/>
      <c r="Z19" s="5"/>
      <c r="AA19" s="5"/>
      <c r="AB19" s="5"/>
      <c r="AC19" s="5"/>
      <c r="AD19" s="5"/>
      <c r="AE19" s="88">
        <f t="shared" si="8"/>
        <v>804.4</v>
      </c>
      <c r="AF19" s="75">
        <f t="shared" si="1"/>
        <v>6274.3200000000006</v>
      </c>
      <c r="AG19" s="84">
        <f t="shared" si="9"/>
        <v>27188.720000000001</v>
      </c>
      <c r="AH19" s="89"/>
      <c r="AI19" s="89"/>
      <c r="AR19" s="91"/>
      <c r="AS19" s="92"/>
      <c r="AT19" s="91"/>
    </row>
    <row r="20" spans="2:46" s="90" customFormat="1" ht="15" customHeight="1">
      <c r="B20" s="78">
        <v>5</v>
      </c>
      <c r="C20" s="93" t="s">
        <v>448</v>
      </c>
      <c r="D20" s="94"/>
      <c r="E20" s="96">
        <v>1</v>
      </c>
      <c r="F20" s="82"/>
      <c r="G20" s="94"/>
      <c r="H20" s="96">
        <v>20110</v>
      </c>
      <c r="I20" s="93"/>
      <c r="J20" s="5"/>
      <c r="K20" s="84">
        <f t="shared" si="0"/>
        <v>20110</v>
      </c>
      <c r="L20" s="5"/>
      <c r="M20" s="84">
        <f t="shared" si="2"/>
        <v>0</v>
      </c>
      <c r="N20" s="5"/>
      <c r="O20" s="84">
        <f t="shared" si="3"/>
        <v>0</v>
      </c>
      <c r="P20" s="84">
        <f t="shared" si="4"/>
        <v>20110</v>
      </c>
      <c r="Q20" s="5"/>
      <c r="R20" s="84">
        <f t="shared" si="5"/>
        <v>0</v>
      </c>
      <c r="S20" s="84">
        <f t="shared" si="6"/>
        <v>20110</v>
      </c>
      <c r="T20" s="95">
        <v>4</v>
      </c>
      <c r="U20" s="5">
        <f t="shared" si="7"/>
        <v>804.4</v>
      </c>
      <c r="V20" s="5"/>
      <c r="W20" s="5"/>
      <c r="X20" s="5"/>
      <c r="Y20" s="5"/>
      <c r="Z20" s="5"/>
      <c r="AA20" s="5"/>
      <c r="AB20" s="5"/>
      <c r="AC20" s="5"/>
      <c r="AD20" s="5"/>
      <c r="AE20" s="88">
        <f t="shared" si="8"/>
        <v>804.4</v>
      </c>
      <c r="AF20" s="75">
        <f t="shared" si="1"/>
        <v>6274.3200000000006</v>
      </c>
      <c r="AG20" s="84">
        <f t="shared" si="9"/>
        <v>27188.720000000001</v>
      </c>
      <c r="AH20" s="89"/>
      <c r="AI20" s="89"/>
      <c r="AR20" s="91"/>
      <c r="AS20" s="92"/>
      <c r="AT20" s="91"/>
    </row>
    <row r="21" spans="2:46" s="90" customFormat="1" ht="15" customHeight="1">
      <c r="B21" s="78">
        <v>6</v>
      </c>
      <c r="C21" s="93" t="s">
        <v>449</v>
      </c>
      <c r="D21" s="94"/>
      <c r="E21" s="96">
        <v>1</v>
      </c>
      <c r="F21" s="82"/>
      <c r="G21" s="94"/>
      <c r="H21" s="96">
        <v>20110</v>
      </c>
      <c r="I21" s="93"/>
      <c r="J21" s="5"/>
      <c r="K21" s="84">
        <f t="shared" si="0"/>
        <v>20110</v>
      </c>
      <c r="L21" s="5"/>
      <c r="M21" s="84">
        <f t="shared" si="2"/>
        <v>0</v>
      </c>
      <c r="N21" s="5"/>
      <c r="O21" s="84">
        <f t="shared" si="3"/>
        <v>0</v>
      </c>
      <c r="P21" s="84">
        <f t="shared" si="4"/>
        <v>20110</v>
      </c>
      <c r="Q21" s="5"/>
      <c r="R21" s="84">
        <f t="shared" si="5"/>
        <v>0</v>
      </c>
      <c r="S21" s="84">
        <f t="shared" si="6"/>
        <v>20110</v>
      </c>
      <c r="T21" s="95">
        <v>4</v>
      </c>
      <c r="U21" s="5">
        <f t="shared" si="7"/>
        <v>804.4</v>
      </c>
      <c r="V21" s="5"/>
      <c r="W21" s="5"/>
      <c r="X21" s="5"/>
      <c r="Y21" s="5"/>
      <c r="Z21" s="5"/>
      <c r="AA21" s="5"/>
      <c r="AB21" s="5"/>
      <c r="AC21" s="5"/>
      <c r="AD21" s="5"/>
      <c r="AE21" s="88">
        <f t="shared" si="8"/>
        <v>804.4</v>
      </c>
      <c r="AF21" s="75">
        <f t="shared" si="1"/>
        <v>6274.3200000000006</v>
      </c>
      <c r="AG21" s="84">
        <f t="shared" si="9"/>
        <v>27188.720000000001</v>
      </c>
      <c r="AH21" s="89"/>
      <c r="AI21" s="89"/>
      <c r="AR21" s="91"/>
      <c r="AS21" s="92"/>
      <c r="AT21" s="91"/>
    </row>
    <row r="22" spans="2:46" s="90" customFormat="1" ht="15" customHeight="1">
      <c r="B22" s="78">
        <v>7</v>
      </c>
      <c r="C22" s="93" t="s">
        <v>450</v>
      </c>
      <c r="D22" s="94"/>
      <c r="E22" s="96">
        <v>1</v>
      </c>
      <c r="F22" s="82"/>
      <c r="G22" s="94"/>
      <c r="H22" s="96">
        <v>21938</v>
      </c>
      <c r="I22" s="93"/>
      <c r="J22" s="5"/>
      <c r="K22" s="84">
        <f t="shared" si="0"/>
        <v>21938</v>
      </c>
      <c r="L22" s="5"/>
      <c r="M22" s="84">
        <f t="shared" si="2"/>
        <v>0</v>
      </c>
      <c r="N22" s="5"/>
      <c r="O22" s="84">
        <f t="shared" si="3"/>
        <v>0</v>
      </c>
      <c r="P22" s="84">
        <f t="shared" si="4"/>
        <v>21938</v>
      </c>
      <c r="Q22" s="5"/>
      <c r="R22" s="84">
        <f t="shared" si="5"/>
        <v>0</v>
      </c>
      <c r="S22" s="84">
        <f t="shared" si="6"/>
        <v>21938</v>
      </c>
      <c r="T22" s="95">
        <v>4</v>
      </c>
      <c r="U22" s="5">
        <f t="shared" si="7"/>
        <v>877.52</v>
      </c>
      <c r="V22" s="5"/>
      <c r="W22" s="5"/>
      <c r="X22" s="5"/>
      <c r="Y22" s="5"/>
      <c r="Z22" s="5"/>
      <c r="AA22" s="5"/>
      <c r="AB22" s="5"/>
      <c r="AC22" s="5"/>
      <c r="AD22" s="5"/>
      <c r="AE22" s="88">
        <f t="shared" si="8"/>
        <v>877.52</v>
      </c>
      <c r="AF22" s="75">
        <f t="shared" si="1"/>
        <v>6844.6559999999999</v>
      </c>
      <c r="AG22" s="84">
        <f t="shared" si="9"/>
        <v>29660.175999999999</v>
      </c>
      <c r="AH22" s="89"/>
      <c r="AI22" s="89"/>
      <c r="AR22" s="91"/>
      <c r="AS22" s="92"/>
      <c r="AT22" s="91"/>
    </row>
    <row r="23" spans="2:46" s="90" customFormat="1" ht="15" customHeight="1">
      <c r="B23" s="78">
        <v>8</v>
      </c>
      <c r="C23" s="93" t="s">
        <v>451</v>
      </c>
      <c r="D23" s="94"/>
      <c r="E23" s="96">
        <v>1</v>
      </c>
      <c r="F23" s="82"/>
      <c r="G23" s="94"/>
      <c r="H23" s="96">
        <v>20110</v>
      </c>
      <c r="I23" s="93"/>
      <c r="J23" s="5"/>
      <c r="K23" s="84">
        <f t="shared" si="0"/>
        <v>20110</v>
      </c>
      <c r="L23" s="5"/>
      <c r="M23" s="84">
        <f t="shared" si="2"/>
        <v>0</v>
      </c>
      <c r="N23" s="5"/>
      <c r="O23" s="84">
        <f t="shared" si="3"/>
        <v>0</v>
      </c>
      <c r="P23" s="84">
        <f t="shared" si="4"/>
        <v>20110</v>
      </c>
      <c r="Q23" s="5"/>
      <c r="R23" s="84">
        <f t="shared" si="5"/>
        <v>0</v>
      </c>
      <c r="S23" s="84">
        <f t="shared" si="6"/>
        <v>20110</v>
      </c>
      <c r="T23" s="95">
        <v>4</v>
      </c>
      <c r="U23" s="5">
        <f t="shared" si="7"/>
        <v>804.4</v>
      </c>
      <c r="V23" s="5"/>
      <c r="W23" s="5"/>
      <c r="X23" s="5"/>
      <c r="Y23" s="5"/>
      <c r="Z23" s="5"/>
      <c r="AA23" s="5"/>
      <c r="AB23" s="5"/>
      <c r="AC23" s="5"/>
      <c r="AD23" s="5"/>
      <c r="AE23" s="88">
        <f t="shared" si="8"/>
        <v>804.4</v>
      </c>
      <c r="AF23" s="75">
        <f t="shared" si="1"/>
        <v>6274.3200000000006</v>
      </c>
      <c r="AG23" s="84">
        <f t="shared" si="9"/>
        <v>27188.720000000001</v>
      </c>
      <c r="AH23" s="89"/>
      <c r="AI23" s="89"/>
      <c r="AR23" s="91"/>
      <c r="AS23" s="92"/>
      <c r="AT23" s="91"/>
    </row>
    <row r="24" spans="2:46" s="90" customFormat="1" ht="15" customHeight="1">
      <c r="B24" s="78">
        <v>9</v>
      </c>
      <c r="C24" s="93" t="s">
        <v>452</v>
      </c>
      <c r="D24" s="94"/>
      <c r="E24" s="96">
        <v>1</v>
      </c>
      <c r="F24" s="82"/>
      <c r="G24" s="93">
        <v>1</v>
      </c>
      <c r="H24" s="96">
        <v>3690</v>
      </c>
      <c r="I24" s="93">
        <v>1.6366000000000001</v>
      </c>
      <c r="J24" s="5"/>
      <c r="K24" s="84">
        <f t="shared" si="0"/>
        <v>6039</v>
      </c>
      <c r="L24" s="5"/>
      <c r="M24" s="84">
        <f t="shared" si="2"/>
        <v>0</v>
      </c>
      <c r="N24" s="5"/>
      <c r="O24" s="84">
        <f t="shared" si="3"/>
        <v>0</v>
      </c>
      <c r="P24" s="84">
        <f t="shared" si="4"/>
        <v>6039</v>
      </c>
      <c r="Q24" s="5"/>
      <c r="R24" s="84">
        <f t="shared" si="5"/>
        <v>0</v>
      </c>
      <c r="S24" s="84">
        <f t="shared" si="6"/>
        <v>6039</v>
      </c>
      <c r="T24" s="95">
        <v>4</v>
      </c>
      <c r="U24" s="5">
        <f t="shared" si="7"/>
        <v>241.56</v>
      </c>
      <c r="V24" s="5"/>
      <c r="W24" s="5"/>
      <c r="X24" s="5"/>
      <c r="Y24" s="5"/>
      <c r="Z24" s="5"/>
      <c r="AA24" s="5"/>
      <c r="AB24" s="5"/>
      <c r="AC24" s="5"/>
      <c r="AD24" s="5"/>
      <c r="AE24" s="88">
        <f t="shared" si="8"/>
        <v>241.56</v>
      </c>
      <c r="AF24" s="75">
        <f t="shared" si="1"/>
        <v>1884.1680000000001</v>
      </c>
      <c r="AG24" s="84">
        <f t="shared" si="9"/>
        <v>8164.728000000001</v>
      </c>
      <c r="AH24" s="89"/>
      <c r="AI24" s="89"/>
      <c r="AR24" s="91"/>
      <c r="AS24" s="92"/>
      <c r="AT24" s="91"/>
    </row>
    <row r="25" spans="2:46" s="90" customFormat="1" ht="15" customHeight="1">
      <c r="B25" s="78">
        <v>10</v>
      </c>
      <c r="C25" s="93" t="s">
        <v>453</v>
      </c>
      <c r="D25" s="94"/>
      <c r="E25" s="96">
        <v>1</v>
      </c>
      <c r="F25" s="82"/>
      <c r="G25" s="93">
        <v>1</v>
      </c>
      <c r="H25" s="96">
        <v>3690</v>
      </c>
      <c r="I25" s="93">
        <v>1.6366000000000001</v>
      </c>
      <c r="J25" s="5"/>
      <c r="K25" s="84">
        <f t="shared" si="0"/>
        <v>6039</v>
      </c>
      <c r="L25" s="5"/>
      <c r="M25" s="84">
        <f t="shared" si="2"/>
        <v>0</v>
      </c>
      <c r="N25" s="5"/>
      <c r="O25" s="84">
        <f t="shared" si="3"/>
        <v>0</v>
      </c>
      <c r="P25" s="84">
        <f t="shared" si="4"/>
        <v>6039</v>
      </c>
      <c r="Q25" s="5"/>
      <c r="R25" s="84">
        <f t="shared" si="5"/>
        <v>0</v>
      </c>
      <c r="S25" s="84">
        <f t="shared" si="6"/>
        <v>6039</v>
      </c>
      <c r="T25" s="95">
        <v>4</v>
      </c>
      <c r="U25" s="5">
        <f t="shared" si="7"/>
        <v>241.56</v>
      </c>
      <c r="V25" s="5"/>
      <c r="W25" s="5"/>
      <c r="X25" s="5"/>
      <c r="Y25" s="5"/>
      <c r="Z25" s="5"/>
      <c r="AA25" s="5"/>
      <c r="AB25" s="5"/>
      <c r="AC25" s="5"/>
      <c r="AD25" s="5"/>
      <c r="AE25" s="88">
        <f t="shared" si="8"/>
        <v>241.56</v>
      </c>
      <c r="AF25" s="75">
        <f t="shared" si="1"/>
        <v>1884.1680000000001</v>
      </c>
      <c r="AG25" s="84">
        <f t="shared" si="9"/>
        <v>8164.728000000001</v>
      </c>
      <c r="AH25" s="89"/>
      <c r="AI25" s="89"/>
      <c r="AR25" s="91"/>
      <c r="AS25" s="92"/>
      <c r="AT25" s="91"/>
    </row>
    <row r="26" spans="2:46" s="90" customFormat="1" ht="15" customHeight="1">
      <c r="B26" s="78">
        <v>11</v>
      </c>
      <c r="C26" s="93" t="s">
        <v>454</v>
      </c>
      <c r="D26" s="94"/>
      <c r="E26" s="96">
        <v>1.5</v>
      </c>
      <c r="F26" s="82"/>
      <c r="G26" s="93">
        <v>2</v>
      </c>
      <c r="H26" s="96">
        <v>3690</v>
      </c>
      <c r="I26" s="93">
        <v>1.7581</v>
      </c>
      <c r="J26" s="5"/>
      <c r="K26" s="84">
        <f t="shared" si="0"/>
        <v>6487</v>
      </c>
      <c r="L26" s="5"/>
      <c r="M26" s="84">
        <f t="shared" si="2"/>
        <v>0</v>
      </c>
      <c r="N26" s="5"/>
      <c r="O26" s="84">
        <f t="shared" si="3"/>
        <v>0</v>
      </c>
      <c r="P26" s="84">
        <f t="shared" si="4"/>
        <v>9730.5</v>
      </c>
      <c r="Q26" s="5"/>
      <c r="R26" s="84">
        <f t="shared" si="5"/>
        <v>0</v>
      </c>
      <c r="S26" s="84">
        <f t="shared" si="6"/>
        <v>9730.5</v>
      </c>
      <c r="T26" s="95"/>
      <c r="U26" s="5">
        <f t="shared" si="7"/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88">
        <f t="shared" si="8"/>
        <v>0</v>
      </c>
      <c r="AF26" s="75">
        <f t="shared" si="1"/>
        <v>2919.15</v>
      </c>
      <c r="AG26" s="84">
        <f t="shared" si="9"/>
        <v>12649.65</v>
      </c>
      <c r="AH26" s="89"/>
      <c r="AI26" s="89"/>
      <c r="AR26" s="91"/>
      <c r="AS26" s="92"/>
      <c r="AT26" s="91"/>
    </row>
    <row r="27" spans="2:46" s="90" customFormat="1" ht="15" customHeight="1">
      <c r="B27" s="78"/>
      <c r="C27" s="94"/>
      <c r="D27" s="94"/>
      <c r="E27" s="97"/>
      <c r="F27" s="82"/>
      <c r="G27" s="93"/>
      <c r="H27" s="96"/>
      <c r="I27" s="93"/>
      <c r="J27" s="5"/>
      <c r="K27" s="84">
        <f t="shared" si="0"/>
        <v>0</v>
      </c>
      <c r="L27" s="5"/>
      <c r="M27" s="84">
        <f t="shared" si="2"/>
        <v>0</v>
      </c>
      <c r="N27" s="5"/>
      <c r="O27" s="84">
        <f t="shared" si="3"/>
        <v>0</v>
      </c>
      <c r="P27" s="84">
        <f t="shared" si="4"/>
        <v>0</v>
      </c>
      <c r="Q27" s="5"/>
      <c r="R27" s="84">
        <f t="shared" si="5"/>
        <v>0</v>
      </c>
      <c r="S27" s="84">
        <f t="shared" si="6"/>
        <v>0</v>
      </c>
      <c r="T27" s="95"/>
      <c r="U27" s="5">
        <f t="shared" si="7"/>
        <v>0</v>
      </c>
      <c r="V27" s="5"/>
      <c r="W27" s="5"/>
      <c r="X27" s="5"/>
      <c r="Y27" s="5"/>
      <c r="Z27" s="5"/>
      <c r="AA27" s="5"/>
      <c r="AB27" s="5"/>
      <c r="AC27" s="5"/>
      <c r="AD27" s="5"/>
      <c r="AE27" s="88">
        <f t="shared" si="8"/>
        <v>0</v>
      </c>
      <c r="AF27" s="75">
        <f t="shared" si="1"/>
        <v>0</v>
      </c>
      <c r="AG27" s="84">
        <f t="shared" si="9"/>
        <v>0</v>
      </c>
      <c r="AH27" s="89"/>
      <c r="AI27" s="89"/>
      <c r="AR27" s="91"/>
      <c r="AS27" s="92"/>
      <c r="AT27" s="91"/>
    </row>
    <row r="28" spans="2:46" s="90" customFormat="1" ht="15" customHeight="1">
      <c r="B28" s="78"/>
      <c r="C28" s="94"/>
      <c r="D28" s="94"/>
      <c r="E28" s="97"/>
      <c r="F28" s="82"/>
      <c r="G28" s="93"/>
      <c r="H28" s="96"/>
      <c r="I28" s="93"/>
      <c r="J28" s="5"/>
      <c r="K28" s="84">
        <f t="shared" si="0"/>
        <v>0</v>
      </c>
      <c r="L28" s="5"/>
      <c r="M28" s="84">
        <f t="shared" si="2"/>
        <v>0</v>
      </c>
      <c r="N28" s="5"/>
      <c r="O28" s="84">
        <f t="shared" si="3"/>
        <v>0</v>
      </c>
      <c r="P28" s="84">
        <f t="shared" si="4"/>
        <v>0</v>
      </c>
      <c r="Q28" s="5"/>
      <c r="R28" s="84">
        <f t="shared" si="5"/>
        <v>0</v>
      </c>
      <c r="S28" s="84">
        <f t="shared" si="6"/>
        <v>0</v>
      </c>
      <c r="T28" s="95"/>
      <c r="U28" s="5">
        <f t="shared" si="7"/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88">
        <f t="shared" si="8"/>
        <v>0</v>
      </c>
      <c r="AF28" s="75">
        <f t="shared" si="1"/>
        <v>0</v>
      </c>
      <c r="AG28" s="84">
        <f t="shared" si="9"/>
        <v>0</v>
      </c>
      <c r="AH28" s="89"/>
      <c r="AI28" s="89"/>
      <c r="AR28" s="91"/>
      <c r="AS28" s="92"/>
      <c r="AT28" s="91"/>
    </row>
    <row r="29" spans="2:46" s="90" customFormat="1" ht="15" customHeight="1">
      <c r="B29" s="78"/>
      <c r="C29" s="94"/>
      <c r="D29" s="94"/>
      <c r="E29" s="97"/>
      <c r="F29" s="82"/>
      <c r="G29" s="93"/>
      <c r="H29" s="96"/>
      <c r="I29" s="93"/>
      <c r="J29" s="5"/>
      <c r="K29" s="84">
        <f t="shared" si="0"/>
        <v>0</v>
      </c>
      <c r="L29" s="5"/>
      <c r="M29" s="84">
        <f t="shared" si="2"/>
        <v>0</v>
      </c>
      <c r="N29" s="5"/>
      <c r="O29" s="84">
        <f t="shared" si="3"/>
        <v>0</v>
      </c>
      <c r="P29" s="84">
        <f t="shared" si="4"/>
        <v>0</v>
      </c>
      <c r="Q29" s="5"/>
      <c r="R29" s="84">
        <f t="shared" si="5"/>
        <v>0</v>
      </c>
      <c r="S29" s="84">
        <f t="shared" si="6"/>
        <v>0</v>
      </c>
      <c r="T29" s="95"/>
      <c r="U29" s="5">
        <f t="shared" si="7"/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88">
        <f t="shared" si="8"/>
        <v>0</v>
      </c>
      <c r="AF29" s="75">
        <f t="shared" si="1"/>
        <v>0</v>
      </c>
      <c r="AG29" s="84">
        <f t="shared" si="9"/>
        <v>0</v>
      </c>
      <c r="AH29" s="89"/>
      <c r="AI29" s="89"/>
      <c r="AR29" s="91"/>
      <c r="AS29" s="92"/>
      <c r="AT29" s="91"/>
    </row>
    <row r="30" spans="2:46" s="90" customFormat="1" ht="15" customHeight="1">
      <c r="B30" s="78"/>
      <c r="C30" s="94"/>
      <c r="D30" s="94"/>
      <c r="E30" s="97"/>
      <c r="F30" s="82"/>
      <c r="G30" s="93"/>
      <c r="H30" s="96"/>
      <c r="I30" s="93"/>
      <c r="J30" s="5"/>
      <c r="K30" s="84">
        <f t="shared" si="0"/>
        <v>0</v>
      </c>
      <c r="L30" s="5"/>
      <c r="M30" s="84">
        <f t="shared" si="2"/>
        <v>0</v>
      </c>
      <c r="N30" s="5"/>
      <c r="O30" s="84">
        <f t="shared" si="3"/>
        <v>0</v>
      </c>
      <c r="P30" s="84">
        <f t="shared" si="4"/>
        <v>0</v>
      </c>
      <c r="Q30" s="5"/>
      <c r="R30" s="84">
        <f t="shared" si="5"/>
        <v>0</v>
      </c>
      <c r="S30" s="84">
        <f t="shared" si="6"/>
        <v>0</v>
      </c>
      <c r="T30" s="95"/>
      <c r="U30" s="5">
        <f t="shared" si="7"/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88">
        <f t="shared" si="8"/>
        <v>0</v>
      </c>
      <c r="AF30" s="75">
        <f t="shared" si="1"/>
        <v>0</v>
      </c>
      <c r="AG30" s="84">
        <f t="shared" si="9"/>
        <v>0</v>
      </c>
      <c r="AH30" s="89"/>
      <c r="AI30" s="89"/>
      <c r="AR30" s="91"/>
      <c r="AS30" s="92"/>
      <c r="AT30" s="91"/>
    </row>
    <row r="31" spans="2:46" s="90" customFormat="1" ht="15" customHeight="1">
      <c r="B31" s="78"/>
      <c r="C31" s="94"/>
      <c r="D31" s="94"/>
      <c r="E31" s="97"/>
      <c r="F31" s="82"/>
      <c r="G31" s="93"/>
      <c r="H31" s="96"/>
      <c r="I31" s="93"/>
      <c r="J31" s="5"/>
      <c r="K31" s="84">
        <f t="shared" si="0"/>
        <v>0</v>
      </c>
      <c r="L31" s="5"/>
      <c r="M31" s="84">
        <f t="shared" si="2"/>
        <v>0</v>
      </c>
      <c r="N31" s="5"/>
      <c r="O31" s="84">
        <f t="shared" si="3"/>
        <v>0</v>
      </c>
      <c r="P31" s="84">
        <f t="shared" si="4"/>
        <v>0</v>
      </c>
      <c r="Q31" s="5"/>
      <c r="R31" s="84">
        <f t="shared" si="5"/>
        <v>0</v>
      </c>
      <c r="S31" s="84">
        <f t="shared" si="6"/>
        <v>0</v>
      </c>
      <c r="T31" s="95"/>
      <c r="U31" s="5">
        <f t="shared" si="7"/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88">
        <f t="shared" si="8"/>
        <v>0</v>
      </c>
      <c r="AF31" s="75">
        <f t="shared" si="1"/>
        <v>0</v>
      </c>
      <c r="AG31" s="84">
        <f t="shared" si="9"/>
        <v>0</v>
      </c>
      <c r="AH31" s="89"/>
      <c r="AI31" s="89"/>
      <c r="AR31" s="91"/>
      <c r="AS31" s="92"/>
      <c r="AT31" s="91"/>
    </row>
    <row r="32" spans="2:46" s="90" customFormat="1" ht="15" customHeight="1">
      <c r="B32" s="78"/>
      <c r="C32" s="94"/>
      <c r="D32" s="94"/>
      <c r="E32" s="97"/>
      <c r="F32" s="82"/>
      <c r="G32" s="93"/>
      <c r="H32" s="96"/>
      <c r="I32" s="93"/>
      <c r="J32" s="5"/>
      <c r="K32" s="84">
        <f t="shared" si="0"/>
        <v>0</v>
      </c>
      <c r="L32" s="5"/>
      <c r="M32" s="84">
        <f t="shared" si="2"/>
        <v>0</v>
      </c>
      <c r="N32" s="5"/>
      <c r="O32" s="84">
        <f t="shared" si="3"/>
        <v>0</v>
      </c>
      <c r="P32" s="84">
        <f t="shared" si="4"/>
        <v>0</v>
      </c>
      <c r="Q32" s="5"/>
      <c r="R32" s="84">
        <f t="shared" si="5"/>
        <v>0</v>
      </c>
      <c r="S32" s="84">
        <f t="shared" si="6"/>
        <v>0</v>
      </c>
      <c r="T32" s="95"/>
      <c r="U32" s="5">
        <f t="shared" si="7"/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88">
        <f t="shared" si="8"/>
        <v>0</v>
      </c>
      <c r="AF32" s="75">
        <f t="shared" si="1"/>
        <v>0</v>
      </c>
      <c r="AG32" s="84">
        <f t="shared" si="9"/>
        <v>0</v>
      </c>
      <c r="AH32" s="89"/>
      <c r="AI32" s="89"/>
      <c r="AR32" s="91"/>
      <c r="AS32" s="92"/>
      <c r="AT32" s="91"/>
    </row>
    <row r="33" spans="2:46" s="90" customFormat="1" ht="15" customHeight="1">
      <c r="B33" s="78">
        <v>12</v>
      </c>
      <c r="C33" s="93" t="s">
        <v>455</v>
      </c>
      <c r="D33" s="94"/>
      <c r="E33" s="96">
        <v>2</v>
      </c>
      <c r="F33" s="82"/>
      <c r="G33" s="93">
        <v>3</v>
      </c>
      <c r="H33" s="96">
        <v>2460</v>
      </c>
      <c r="I33" s="93">
        <v>2.0914999999999999</v>
      </c>
      <c r="J33" s="5"/>
      <c r="K33" s="84">
        <f t="shared" si="0"/>
        <v>5145</v>
      </c>
      <c r="L33" s="5"/>
      <c r="M33" s="84">
        <f t="shared" si="2"/>
        <v>0</v>
      </c>
      <c r="N33" s="5"/>
      <c r="O33" s="84">
        <f t="shared" si="3"/>
        <v>0</v>
      </c>
      <c r="P33" s="84">
        <f t="shared" si="4"/>
        <v>10290</v>
      </c>
      <c r="Q33" s="5"/>
      <c r="R33" s="84">
        <f t="shared" si="5"/>
        <v>0</v>
      </c>
      <c r="S33" s="84">
        <f t="shared" si="6"/>
        <v>10290</v>
      </c>
      <c r="T33" s="95">
        <v>4</v>
      </c>
      <c r="U33" s="5">
        <f t="shared" si="7"/>
        <v>411.6</v>
      </c>
      <c r="V33" s="5"/>
      <c r="W33" s="5"/>
      <c r="X33" s="5"/>
      <c r="Y33" s="5"/>
      <c r="Z33" s="5"/>
      <c r="AA33" s="5"/>
      <c r="AB33" s="5"/>
      <c r="AC33" s="5"/>
      <c r="AD33" s="5"/>
      <c r="AE33" s="88">
        <f t="shared" si="8"/>
        <v>411.6</v>
      </c>
      <c r="AF33" s="75">
        <f t="shared" si="1"/>
        <v>3210.48</v>
      </c>
      <c r="AG33" s="84">
        <f t="shared" si="9"/>
        <v>13912.08</v>
      </c>
      <c r="AH33" s="89"/>
      <c r="AI33" s="89"/>
      <c r="AR33" s="91"/>
      <c r="AS33" s="92"/>
      <c r="AT33" s="91"/>
    </row>
    <row r="34" spans="2:46" ht="15" thickBot="1">
      <c r="B34" s="98"/>
      <c r="C34" s="99" t="s">
        <v>264</v>
      </c>
      <c r="D34" s="99"/>
      <c r="E34" s="99">
        <f>SUM(E16:E33)</f>
        <v>13.5</v>
      </c>
      <c r="F34" s="100"/>
      <c r="G34" s="100"/>
      <c r="H34" s="100"/>
      <c r="I34" s="100"/>
      <c r="J34" s="100"/>
      <c r="K34" s="101">
        <f>SUM(K16:K33)</f>
        <v>204699</v>
      </c>
      <c r="L34" s="102"/>
      <c r="M34" s="101">
        <f>SUM(M16:M33)</f>
        <v>0</v>
      </c>
      <c r="N34" s="102"/>
      <c r="O34" s="101">
        <f>SUM(O16:O33)</f>
        <v>0</v>
      </c>
      <c r="P34" s="101">
        <f>SUM(P16:P33)</f>
        <v>213087.5</v>
      </c>
      <c r="Q34" s="100"/>
      <c r="R34" s="101">
        <f>SUM(R16:R33)</f>
        <v>0</v>
      </c>
      <c r="S34" s="101">
        <f>SUM(S16:S33)</f>
        <v>213087.5</v>
      </c>
      <c r="T34" s="100"/>
      <c r="U34" s="101">
        <f t="shared" ref="U34:AG34" si="10">SUM(U16:U33)</f>
        <v>6671.7600000000011</v>
      </c>
      <c r="V34" s="101">
        <f t="shared" si="10"/>
        <v>0</v>
      </c>
      <c r="W34" s="101">
        <f t="shared" si="10"/>
        <v>0</v>
      </c>
      <c r="X34" s="101"/>
      <c r="Y34" s="101">
        <f t="shared" si="10"/>
        <v>0</v>
      </c>
      <c r="Z34" s="101">
        <f t="shared" si="10"/>
        <v>0</v>
      </c>
      <c r="AA34" s="101">
        <f t="shared" si="10"/>
        <v>0</v>
      </c>
      <c r="AB34" s="101">
        <f t="shared" si="10"/>
        <v>0</v>
      </c>
      <c r="AC34" s="101">
        <f t="shared" si="10"/>
        <v>0</v>
      </c>
      <c r="AD34" s="101">
        <f t="shared" si="10"/>
        <v>4204.8</v>
      </c>
      <c r="AE34" s="101">
        <f t="shared" si="10"/>
        <v>10876.56</v>
      </c>
      <c r="AF34" s="101">
        <f t="shared" si="10"/>
        <v>67189.217999999993</v>
      </c>
      <c r="AG34" s="101">
        <f t="shared" si="10"/>
        <v>291153.27800000005</v>
      </c>
      <c r="AH34" s="103"/>
    </row>
    <row r="35" spans="2:46" ht="48" customHeight="1">
      <c r="B35" s="104"/>
      <c r="C35" s="105" t="s">
        <v>380</v>
      </c>
      <c r="D35" s="105"/>
      <c r="E35" s="73"/>
      <c r="F35" s="73"/>
      <c r="G35" s="73"/>
      <c r="H35" s="73"/>
      <c r="I35" s="73"/>
      <c r="J35" s="73"/>
      <c r="K35" s="75"/>
      <c r="L35" s="73"/>
      <c r="M35" s="106"/>
      <c r="N35" s="73"/>
      <c r="O35" s="73"/>
      <c r="P35" s="75"/>
      <c r="Q35" s="73"/>
      <c r="R35" s="73"/>
      <c r="S35" s="75"/>
      <c r="T35" s="73"/>
      <c r="U35" s="76"/>
      <c r="V35" s="77"/>
      <c r="W35" s="77"/>
      <c r="X35" s="77"/>
      <c r="Y35" s="77"/>
      <c r="Z35" s="77"/>
      <c r="AA35" s="77"/>
      <c r="AB35" s="77"/>
      <c r="AC35" s="73"/>
      <c r="AD35" s="73"/>
      <c r="AE35" s="73"/>
      <c r="AF35" s="75"/>
      <c r="AG35" s="75"/>
    </row>
    <row r="36" spans="2:46" s="90" customFormat="1" ht="32.25" customHeight="1">
      <c r="B36" s="107">
        <v>1</v>
      </c>
      <c r="C36" s="108" t="s">
        <v>456</v>
      </c>
      <c r="D36" s="109"/>
      <c r="E36" s="96">
        <v>21.32</v>
      </c>
      <c r="F36" s="110" t="s">
        <v>457</v>
      </c>
      <c r="G36" s="81">
        <v>4</v>
      </c>
      <c r="H36" s="81">
        <v>3125</v>
      </c>
      <c r="I36" s="81">
        <v>1.9665999999999999</v>
      </c>
      <c r="J36" s="5"/>
      <c r="K36" s="84">
        <f t="shared" ref="K36:K52" si="11">INT(IF(AND(H36="",I36="",J36=""),0,IF(H36="",1,H36)*IF(I36="",1,I36)*IF(J36="",1,J36)))</f>
        <v>6145</v>
      </c>
      <c r="L36" s="5"/>
      <c r="M36" s="84">
        <f t="shared" ref="M36:M69" si="12">L36*K36</f>
        <v>0</v>
      </c>
      <c r="N36" s="5"/>
      <c r="O36" s="111">
        <f t="shared" ref="O36:O69" si="13">N36*K36</f>
        <v>0</v>
      </c>
      <c r="P36" s="84">
        <f t="shared" ref="P36:P69" si="14">(K36+M36+O36)*E36</f>
        <v>131011.40000000001</v>
      </c>
      <c r="Q36" s="5"/>
      <c r="R36" s="84">
        <f t="shared" ref="R36:R69" si="15">Q36*$K36*E36</f>
        <v>0</v>
      </c>
      <c r="S36" s="84">
        <f t="shared" ref="S36:S69" si="16">(P36+R36)</f>
        <v>131011.40000000001</v>
      </c>
      <c r="T36" s="5">
        <v>4</v>
      </c>
      <c r="U36" s="5">
        <v>840.64</v>
      </c>
      <c r="V36" s="5"/>
      <c r="W36" s="5"/>
      <c r="X36" s="5"/>
      <c r="Y36" s="112">
        <v>7781.6</v>
      </c>
      <c r="Z36" s="5"/>
      <c r="AA36" s="112">
        <v>9524.75</v>
      </c>
      <c r="AB36" s="5"/>
      <c r="AC36" s="112">
        <v>3072.5</v>
      </c>
      <c r="AD36" s="5"/>
      <c r="AE36" s="113">
        <f>U36+V36+W36+Y36+AA36+AC36+AD36</f>
        <v>21219.489999999998</v>
      </c>
      <c r="AF36" s="75">
        <f>(S36+AE36)*0.3</f>
        <v>45669.267</v>
      </c>
      <c r="AG36" s="84">
        <f>S36+AE36+AF36</f>
        <v>197900.15700000001</v>
      </c>
      <c r="AR36" s="91"/>
      <c r="AS36" s="92"/>
      <c r="AT36" s="91"/>
    </row>
    <row r="37" spans="2:46" s="90" customFormat="1" ht="16.5" customHeight="1">
      <c r="B37" s="107">
        <v>2</v>
      </c>
      <c r="C37" s="108" t="s">
        <v>456</v>
      </c>
      <c r="D37" s="109"/>
      <c r="E37" s="96">
        <v>7.87</v>
      </c>
      <c r="F37" s="114" t="s">
        <v>458</v>
      </c>
      <c r="G37" s="81">
        <v>4</v>
      </c>
      <c r="H37" s="81">
        <v>3125</v>
      </c>
      <c r="I37" s="81">
        <v>1.9665999999999999</v>
      </c>
      <c r="J37" s="5"/>
      <c r="K37" s="84">
        <f t="shared" si="11"/>
        <v>6145</v>
      </c>
      <c r="L37" s="5"/>
      <c r="M37" s="84">
        <f t="shared" si="12"/>
        <v>0</v>
      </c>
      <c r="N37" s="5">
        <v>0.1</v>
      </c>
      <c r="O37" s="111">
        <f t="shared" si="13"/>
        <v>614.5</v>
      </c>
      <c r="P37" s="84">
        <f t="shared" si="14"/>
        <v>53197.264999999999</v>
      </c>
      <c r="Q37" s="5"/>
      <c r="R37" s="84">
        <f t="shared" si="15"/>
        <v>0</v>
      </c>
      <c r="S37" s="84">
        <f t="shared" si="16"/>
        <v>53197.264999999999</v>
      </c>
      <c r="T37" s="5">
        <v>4</v>
      </c>
      <c r="U37" s="5">
        <v>270.38</v>
      </c>
      <c r="V37" s="5"/>
      <c r="W37" s="5"/>
      <c r="X37" s="5"/>
      <c r="Y37" s="112">
        <v>2710.18</v>
      </c>
      <c r="Z37" s="5"/>
      <c r="AA37" s="112">
        <v>12167.1</v>
      </c>
      <c r="AB37" s="5"/>
      <c r="AC37" s="112">
        <v>1689.88</v>
      </c>
      <c r="AD37" s="112"/>
      <c r="AE37" s="113">
        <f t="shared" ref="AE37:AE69" si="17">U37+V37+W37+Y37+AA37+AC37+AD37</f>
        <v>16837.54</v>
      </c>
      <c r="AF37" s="75">
        <f t="shared" ref="AF37:AF69" si="18">(S37+AE37)*0.3</f>
        <v>21010.441499999997</v>
      </c>
      <c r="AG37" s="84">
        <f t="shared" ref="AG37:AG69" si="19">S37+AE37+AF37</f>
        <v>91045.246499999994</v>
      </c>
      <c r="AR37" s="91"/>
      <c r="AS37" s="92"/>
      <c r="AT37" s="91"/>
    </row>
    <row r="38" spans="2:46" s="90" customFormat="1" ht="15" customHeight="1">
      <c r="B38" s="107">
        <v>3</v>
      </c>
      <c r="C38" s="108" t="s">
        <v>459</v>
      </c>
      <c r="D38" s="109"/>
      <c r="E38" s="93">
        <v>1.96</v>
      </c>
      <c r="F38" s="114" t="s">
        <v>458</v>
      </c>
      <c r="G38" s="81">
        <v>4</v>
      </c>
      <c r="H38" s="81">
        <v>3125</v>
      </c>
      <c r="I38" s="81">
        <v>1.8230999999999999</v>
      </c>
      <c r="J38" s="5"/>
      <c r="K38" s="84">
        <f t="shared" si="11"/>
        <v>5697</v>
      </c>
      <c r="L38" s="78"/>
      <c r="M38" s="84">
        <f t="shared" si="12"/>
        <v>0</v>
      </c>
      <c r="N38" s="5"/>
      <c r="O38" s="111">
        <f t="shared" si="13"/>
        <v>0</v>
      </c>
      <c r="P38" s="84">
        <f t="shared" si="14"/>
        <v>11166.119999999999</v>
      </c>
      <c r="Q38" s="5"/>
      <c r="R38" s="84">
        <f t="shared" si="15"/>
        <v>0</v>
      </c>
      <c r="S38" s="84">
        <f t="shared" si="16"/>
        <v>11166.119999999999</v>
      </c>
      <c r="T38" s="5"/>
      <c r="U38" s="5"/>
      <c r="V38" s="5"/>
      <c r="W38" s="5"/>
      <c r="X38" s="5"/>
      <c r="Y38" s="112">
        <v>1573.8</v>
      </c>
      <c r="Z38" s="5"/>
      <c r="AA38" s="112">
        <v>569.70000000000005</v>
      </c>
      <c r="AB38" s="5"/>
      <c r="AC38" s="112"/>
      <c r="AD38" s="5"/>
      <c r="AE38" s="113">
        <f t="shared" si="17"/>
        <v>2143.5</v>
      </c>
      <c r="AF38" s="75">
        <f t="shared" si="18"/>
        <v>3992.8859999999995</v>
      </c>
      <c r="AG38" s="84">
        <f t="shared" si="19"/>
        <v>17302.505999999998</v>
      </c>
      <c r="AR38" s="91"/>
      <c r="AS38" s="92"/>
      <c r="AT38" s="91"/>
    </row>
    <row r="39" spans="2:46" s="90" customFormat="1" ht="15" customHeight="1">
      <c r="B39" s="107">
        <v>4</v>
      </c>
      <c r="C39" s="108" t="s">
        <v>460</v>
      </c>
      <c r="D39" s="109"/>
      <c r="E39" s="93">
        <v>1.91</v>
      </c>
      <c r="F39" s="114" t="s">
        <v>458</v>
      </c>
      <c r="G39" s="81">
        <v>4</v>
      </c>
      <c r="H39" s="81">
        <v>3125</v>
      </c>
      <c r="I39" s="81">
        <v>1.9665999999999999</v>
      </c>
      <c r="J39" s="5"/>
      <c r="K39" s="84">
        <f t="shared" si="11"/>
        <v>6145</v>
      </c>
      <c r="L39" s="5">
        <v>0.2</v>
      </c>
      <c r="M39" s="84">
        <f t="shared" si="12"/>
        <v>1229</v>
      </c>
      <c r="N39" s="5"/>
      <c r="O39" s="111">
        <f t="shared" si="13"/>
        <v>0</v>
      </c>
      <c r="P39" s="84">
        <f t="shared" si="14"/>
        <v>14084.34</v>
      </c>
      <c r="Q39" s="5"/>
      <c r="R39" s="84">
        <f t="shared" si="15"/>
        <v>0</v>
      </c>
      <c r="S39" s="84">
        <f t="shared" si="16"/>
        <v>14084.34</v>
      </c>
      <c r="T39" s="5"/>
      <c r="U39" s="5"/>
      <c r="V39" s="5"/>
      <c r="W39" s="5"/>
      <c r="X39" s="5"/>
      <c r="Y39" s="112">
        <v>772.11</v>
      </c>
      <c r="Z39" s="5"/>
      <c r="AA39" s="112">
        <v>3318.3</v>
      </c>
      <c r="AB39" s="5"/>
      <c r="AC39" s="112"/>
      <c r="AD39" s="5"/>
      <c r="AE39" s="113">
        <f t="shared" si="17"/>
        <v>4090.4100000000003</v>
      </c>
      <c r="AF39" s="75">
        <f t="shared" si="18"/>
        <v>5452.4250000000002</v>
      </c>
      <c r="AG39" s="84">
        <f t="shared" si="19"/>
        <v>23627.174999999999</v>
      </c>
      <c r="AR39" s="91"/>
      <c r="AS39" s="92"/>
      <c r="AT39" s="91"/>
    </row>
    <row r="40" spans="2:46" s="90" customFormat="1" ht="15" customHeight="1">
      <c r="B40" s="107">
        <v>5</v>
      </c>
      <c r="C40" s="108" t="s">
        <v>456</v>
      </c>
      <c r="D40" s="109"/>
      <c r="E40" s="93">
        <v>30.28</v>
      </c>
      <c r="F40" s="114" t="s">
        <v>458</v>
      </c>
      <c r="G40" s="81">
        <v>4</v>
      </c>
      <c r="H40" s="81">
        <v>3125</v>
      </c>
      <c r="I40" s="81">
        <v>1.8230999999999999</v>
      </c>
      <c r="J40" s="5"/>
      <c r="K40" s="84">
        <f>INT(IF(AND(H40="",I40="",J40=""),0,IF(H40="",1,H40)*IF(I40="",1,I40)*IF(J40="",1,J40)))</f>
        <v>5697</v>
      </c>
      <c r="L40" s="5"/>
      <c r="M40" s="84">
        <f t="shared" si="12"/>
        <v>0</v>
      </c>
      <c r="N40" s="5"/>
      <c r="O40" s="111">
        <f t="shared" si="13"/>
        <v>0</v>
      </c>
      <c r="P40" s="84">
        <f t="shared" si="14"/>
        <v>172505.16</v>
      </c>
      <c r="Q40" s="5"/>
      <c r="R40" s="84">
        <f t="shared" si="15"/>
        <v>0</v>
      </c>
      <c r="S40" s="84">
        <f t="shared" si="16"/>
        <v>172505.16</v>
      </c>
      <c r="T40" s="5">
        <v>4</v>
      </c>
      <c r="U40" s="5">
        <v>834.04</v>
      </c>
      <c r="V40" s="5"/>
      <c r="W40" s="5"/>
      <c r="X40" s="5"/>
      <c r="Y40" s="112">
        <v>12457.51</v>
      </c>
      <c r="Z40" s="5"/>
      <c r="AA40" s="112">
        <v>16806.150000000001</v>
      </c>
      <c r="AB40" s="5"/>
      <c r="AC40" s="112">
        <v>12818.25</v>
      </c>
      <c r="AD40" s="112"/>
      <c r="AE40" s="113">
        <f t="shared" si="17"/>
        <v>42915.95</v>
      </c>
      <c r="AF40" s="75">
        <f t="shared" si="18"/>
        <v>64626.332999999991</v>
      </c>
      <c r="AG40" s="84">
        <f t="shared" si="19"/>
        <v>280047.44299999997</v>
      </c>
      <c r="AR40" s="91"/>
      <c r="AS40" s="92"/>
      <c r="AT40" s="91"/>
    </row>
    <row r="41" spans="2:46" s="90" customFormat="1" ht="15" customHeight="1">
      <c r="B41" s="107">
        <v>6</v>
      </c>
      <c r="C41" s="108" t="s">
        <v>461</v>
      </c>
      <c r="D41" s="109"/>
      <c r="E41" s="93">
        <v>0.85</v>
      </c>
      <c r="F41" s="114" t="s">
        <v>458</v>
      </c>
      <c r="G41" s="81">
        <v>4</v>
      </c>
      <c r="H41" s="81">
        <v>3125</v>
      </c>
      <c r="I41" s="81">
        <v>1.6802999999999999</v>
      </c>
      <c r="J41" s="5"/>
      <c r="K41" s="84">
        <v>5251</v>
      </c>
      <c r="L41" s="78"/>
      <c r="M41" s="84">
        <f t="shared" si="12"/>
        <v>0</v>
      </c>
      <c r="N41" s="5"/>
      <c r="O41" s="111">
        <f t="shared" si="13"/>
        <v>0</v>
      </c>
      <c r="P41" s="84">
        <f t="shared" si="14"/>
        <v>4463.3499999999995</v>
      </c>
      <c r="Q41" s="5"/>
      <c r="R41" s="84">
        <f t="shared" si="15"/>
        <v>0</v>
      </c>
      <c r="S41" s="84">
        <f t="shared" si="16"/>
        <v>4463.3499999999995</v>
      </c>
      <c r="T41" s="5"/>
      <c r="U41" s="5"/>
      <c r="V41" s="5"/>
      <c r="W41" s="5"/>
      <c r="X41" s="5"/>
      <c r="Y41" s="112">
        <v>281.29000000000002</v>
      </c>
      <c r="Z41" s="5"/>
      <c r="AA41" s="112">
        <v>787.65</v>
      </c>
      <c r="AB41" s="5"/>
      <c r="AC41" s="112"/>
      <c r="AD41" s="112"/>
      <c r="AE41" s="113">
        <f t="shared" si="17"/>
        <v>1068.94</v>
      </c>
      <c r="AF41" s="75">
        <f t="shared" si="18"/>
        <v>1659.6869999999997</v>
      </c>
      <c r="AG41" s="84">
        <f t="shared" si="19"/>
        <v>7191.976999999999</v>
      </c>
      <c r="AR41" s="91"/>
      <c r="AS41" s="92"/>
      <c r="AT41" s="91"/>
    </row>
    <row r="42" spans="2:46" s="90" customFormat="1" ht="15" customHeight="1">
      <c r="B42" s="107">
        <v>7</v>
      </c>
      <c r="C42" s="108" t="s">
        <v>462</v>
      </c>
      <c r="D42" s="109"/>
      <c r="E42" s="93">
        <v>3.68</v>
      </c>
      <c r="F42" s="114" t="s">
        <v>458</v>
      </c>
      <c r="G42" s="81">
        <v>4</v>
      </c>
      <c r="H42" s="81">
        <v>3125</v>
      </c>
      <c r="I42" s="81">
        <v>1.6802999999999999</v>
      </c>
      <c r="J42" s="5"/>
      <c r="K42" s="84">
        <v>5251</v>
      </c>
      <c r="L42" s="78"/>
      <c r="M42" s="84">
        <f t="shared" si="12"/>
        <v>0</v>
      </c>
      <c r="N42" s="5"/>
      <c r="O42" s="111">
        <f t="shared" si="13"/>
        <v>0</v>
      </c>
      <c r="P42" s="84">
        <f t="shared" si="14"/>
        <v>19323.68</v>
      </c>
      <c r="Q42" s="5"/>
      <c r="R42" s="84">
        <f t="shared" si="15"/>
        <v>0</v>
      </c>
      <c r="S42" s="84">
        <f t="shared" si="16"/>
        <v>19323.68</v>
      </c>
      <c r="T42" s="5"/>
      <c r="U42" s="5"/>
      <c r="V42" s="5"/>
      <c r="W42" s="5"/>
      <c r="X42" s="5"/>
      <c r="Y42" s="112">
        <v>2716.3</v>
      </c>
      <c r="Z42" s="5"/>
      <c r="AA42" s="112">
        <v>1050.2</v>
      </c>
      <c r="AB42" s="5"/>
      <c r="AC42" s="112"/>
      <c r="AD42" s="5"/>
      <c r="AE42" s="113">
        <f t="shared" si="17"/>
        <v>3766.5</v>
      </c>
      <c r="AF42" s="75">
        <f t="shared" si="18"/>
        <v>6927.0540000000001</v>
      </c>
      <c r="AG42" s="84">
        <f t="shared" si="19"/>
        <v>30017.234</v>
      </c>
      <c r="AR42" s="91"/>
      <c r="AS42" s="92"/>
      <c r="AT42" s="91"/>
    </row>
    <row r="43" spans="2:46" s="90" customFormat="1" ht="15" customHeight="1">
      <c r="B43" s="107">
        <v>8</v>
      </c>
      <c r="C43" s="108" t="s">
        <v>456</v>
      </c>
      <c r="D43" s="109"/>
      <c r="E43" s="93">
        <v>1.8</v>
      </c>
      <c r="F43" s="114" t="s">
        <v>458</v>
      </c>
      <c r="G43" s="81">
        <v>4</v>
      </c>
      <c r="H43" s="81">
        <v>3125</v>
      </c>
      <c r="I43" s="81">
        <v>1.5732999999999999</v>
      </c>
      <c r="J43" s="5"/>
      <c r="K43" s="84">
        <f t="shared" si="11"/>
        <v>4916</v>
      </c>
      <c r="L43" s="78"/>
      <c r="M43" s="84">
        <f t="shared" si="12"/>
        <v>0</v>
      </c>
      <c r="N43" s="5">
        <v>0.1</v>
      </c>
      <c r="O43" s="111">
        <v>492</v>
      </c>
      <c r="P43" s="84">
        <f t="shared" si="14"/>
        <v>9734.4</v>
      </c>
      <c r="Q43" s="5"/>
      <c r="R43" s="84">
        <f t="shared" si="15"/>
        <v>0</v>
      </c>
      <c r="S43" s="84">
        <f t="shared" si="16"/>
        <v>9734.4</v>
      </c>
      <c r="T43" s="5"/>
      <c r="U43" s="5"/>
      <c r="V43" s="5"/>
      <c r="W43" s="5"/>
      <c r="X43" s="5"/>
      <c r="Y43" s="112">
        <v>493.71</v>
      </c>
      <c r="Z43" s="5"/>
      <c r="AA43" s="112">
        <v>811.2</v>
      </c>
      <c r="AB43" s="5"/>
      <c r="AC43" s="112"/>
      <c r="AD43" s="5"/>
      <c r="AE43" s="113">
        <f t="shared" si="17"/>
        <v>1304.9100000000001</v>
      </c>
      <c r="AF43" s="75">
        <f t="shared" si="18"/>
        <v>3311.7929999999997</v>
      </c>
      <c r="AG43" s="84">
        <f t="shared" si="19"/>
        <v>14351.102999999999</v>
      </c>
      <c r="AR43" s="91"/>
      <c r="AS43" s="92"/>
      <c r="AT43" s="91"/>
    </row>
    <row r="44" spans="2:46" s="90" customFormat="1" ht="15" customHeight="1">
      <c r="B44" s="107">
        <v>9</v>
      </c>
      <c r="C44" s="108" t="s">
        <v>456</v>
      </c>
      <c r="D44" s="109"/>
      <c r="E44" s="93">
        <v>1.27</v>
      </c>
      <c r="F44" s="114" t="s">
        <v>458</v>
      </c>
      <c r="G44" s="81">
        <v>4</v>
      </c>
      <c r="H44" s="81">
        <v>3125</v>
      </c>
      <c r="I44" s="81">
        <v>1.5732999999999999</v>
      </c>
      <c r="J44" s="5"/>
      <c r="K44" s="84">
        <f t="shared" si="11"/>
        <v>4916</v>
      </c>
      <c r="L44" s="78"/>
      <c r="M44" s="84">
        <f t="shared" si="12"/>
        <v>0</v>
      </c>
      <c r="N44" s="5"/>
      <c r="O44" s="111">
        <f t="shared" si="13"/>
        <v>0</v>
      </c>
      <c r="P44" s="84">
        <f t="shared" si="14"/>
        <v>6243.32</v>
      </c>
      <c r="Q44" s="5"/>
      <c r="R44" s="84">
        <f t="shared" si="15"/>
        <v>0</v>
      </c>
      <c r="S44" s="84">
        <f t="shared" si="16"/>
        <v>6243.32</v>
      </c>
      <c r="T44" s="5"/>
      <c r="U44" s="5"/>
      <c r="V44" s="5"/>
      <c r="W44" s="5"/>
      <c r="X44" s="5"/>
      <c r="Y44" s="112">
        <v>587.87</v>
      </c>
      <c r="Z44" s="5"/>
      <c r="AA44" s="112">
        <v>491.6</v>
      </c>
      <c r="AB44" s="5"/>
      <c r="AC44" s="112"/>
      <c r="AD44" s="5"/>
      <c r="AE44" s="113">
        <f t="shared" si="17"/>
        <v>1079.47</v>
      </c>
      <c r="AF44" s="75">
        <f t="shared" si="18"/>
        <v>2196.837</v>
      </c>
      <c r="AG44" s="84">
        <f t="shared" si="19"/>
        <v>9519.6270000000004</v>
      </c>
      <c r="AR44" s="91"/>
      <c r="AS44" s="92"/>
      <c r="AT44" s="91"/>
    </row>
    <row r="45" spans="2:46" s="90" customFormat="1" ht="15" customHeight="1">
      <c r="B45" s="107">
        <v>10</v>
      </c>
      <c r="C45" s="108" t="s">
        <v>456</v>
      </c>
      <c r="D45" s="109"/>
      <c r="E45" s="93">
        <v>1.95</v>
      </c>
      <c r="F45" s="114" t="s">
        <v>458</v>
      </c>
      <c r="G45" s="116">
        <v>4</v>
      </c>
      <c r="H45" s="81">
        <v>3125</v>
      </c>
      <c r="I45" s="81">
        <v>1.4298</v>
      </c>
      <c r="J45" s="5"/>
      <c r="K45" s="84">
        <f t="shared" si="11"/>
        <v>4468</v>
      </c>
      <c r="L45" s="78"/>
      <c r="M45" s="84">
        <f t="shared" si="12"/>
        <v>0</v>
      </c>
      <c r="N45" s="5"/>
      <c r="O45" s="111">
        <f t="shared" si="13"/>
        <v>0</v>
      </c>
      <c r="P45" s="84">
        <f t="shared" si="14"/>
        <v>8712.6</v>
      </c>
      <c r="Q45" s="5"/>
      <c r="R45" s="84">
        <f t="shared" si="15"/>
        <v>0</v>
      </c>
      <c r="S45" s="84">
        <f t="shared" si="16"/>
        <v>8712.6</v>
      </c>
      <c r="T45" s="5"/>
      <c r="U45" s="5"/>
      <c r="V45" s="5"/>
      <c r="W45" s="5"/>
      <c r="X45" s="5"/>
      <c r="Y45" s="112">
        <v>562.97</v>
      </c>
      <c r="Z45" s="5"/>
      <c r="AA45" s="112">
        <v>1340.4</v>
      </c>
      <c r="AB45" s="5"/>
      <c r="AC45" s="112"/>
      <c r="AD45" s="5"/>
      <c r="AE45" s="113">
        <f t="shared" si="17"/>
        <v>1903.3700000000001</v>
      </c>
      <c r="AF45" s="75">
        <f t="shared" si="18"/>
        <v>3184.7910000000002</v>
      </c>
      <c r="AG45" s="84">
        <f t="shared" si="19"/>
        <v>13800.761000000002</v>
      </c>
      <c r="AR45" s="91"/>
      <c r="AS45" s="92"/>
      <c r="AT45" s="91"/>
    </row>
    <row r="46" spans="2:46" s="90" customFormat="1" ht="14.25" customHeight="1">
      <c r="B46" s="107">
        <v>11</v>
      </c>
      <c r="C46" s="108" t="s">
        <v>456</v>
      </c>
      <c r="D46" s="109"/>
      <c r="E46" s="93">
        <v>2.36</v>
      </c>
      <c r="F46" s="114" t="s">
        <v>458</v>
      </c>
      <c r="G46" s="81">
        <v>4</v>
      </c>
      <c r="H46" s="81">
        <v>3125</v>
      </c>
      <c r="I46" s="81">
        <v>1.3221000000000001</v>
      </c>
      <c r="J46" s="5"/>
      <c r="K46" s="84">
        <f t="shared" si="11"/>
        <v>4131</v>
      </c>
      <c r="L46" s="78"/>
      <c r="M46" s="84">
        <f t="shared" si="12"/>
        <v>0</v>
      </c>
      <c r="N46" s="5"/>
      <c r="O46" s="111">
        <f t="shared" si="13"/>
        <v>0</v>
      </c>
      <c r="P46" s="84">
        <f t="shared" si="14"/>
        <v>9749.16</v>
      </c>
      <c r="Q46" s="5"/>
      <c r="R46" s="84">
        <f t="shared" si="15"/>
        <v>0</v>
      </c>
      <c r="S46" s="84">
        <f t="shared" si="16"/>
        <v>9749.16</v>
      </c>
      <c r="T46" s="5"/>
      <c r="U46" s="5"/>
      <c r="V46" s="5"/>
      <c r="W46" s="5"/>
      <c r="X46" s="5"/>
      <c r="Y46" s="112">
        <v>562.28</v>
      </c>
      <c r="Z46" s="5"/>
      <c r="AA46" s="112">
        <v>1032.75</v>
      </c>
      <c r="AB46" s="5"/>
      <c r="AC46" s="112"/>
      <c r="AD46" s="5"/>
      <c r="AE46" s="113">
        <f t="shared" si="17"/>
        <v>1595.03</v>
      </c>
      <c r="AF46" s="75">
        <f t="shared" si="18"/>
        <v>3403.2570000000001</v>
      </c>
      <c r="AG46" s="84">
        <f t="shared" si="19"/>
        <v>14747.447</v>
      </c>
      <c r="AR46" s="91"/>
      <c r="AS46" s="92"/>
      <c r="AT46" s="91"/>
    </row>
    <row r="47" spans="2:46" s="90" customFormat="1" ht="14.25" customHeight="1">
      <c r="B47" s="107">
        <v>12</v>
      </c>
      <c r="C47" s="108" t="s">
        <v>456</v>
      </c>
      <c r="D47" s="109"/>
      <c r="E47" s="93">
        <v>1.03</v>
      </c>
      <c r="F47" s="114" t="s">
        <v>458</v>
      </c>
      <c r="G47" s="81">
        <v>4</v>
      </c>
      <c r="H47" s="81">
        <v>3125</v>
      </c>
      <c r="I47" s="81">
        <v>1.21472</v>
      </c>
      <c r="J47" s="5"/>
      <c r="K47" s="84">
        <f t="shared" si="11"/>
        <v>3796</v>
      </c>
      <c r="L47" s="78"/>
      <c r="M47" s="84">
        <f t="shared" si="12"/>
        <v>0</v>
      </c>
      <c r="N47" s="5"/>
      <c r="O47" s="111">
        <f t="shared" si="13"/>
        <v>0</v>
      </c>
      <c r="P47" s="84">
        <f t="shared" si="14"/>
        <v>3909.88</v>
      </c>
      <c r="Q47" s="5"/>
      <c r="R47" s="84">
        <f t="shared" si="15"/>
        <v>0</v>
      </c>
      <c r="S47" s="84">
        <f t="shared" si="16"/>
        <v>3909.88</v>
      </c>
      <c r="T47" s="5"/>
      <c r="U47" s="5"/>
      <c r="V47" s="5"/>
      <c r="W47" s="5"/>
      <c r="X47" s="5"/>
      <c r="Y47" s="112">
        <v>374.97</v>
      </c>
      <c r="Z47" s="5"/>
      <c r="AA47" s="112">
        <v>898.6</v>
      </c>
      <c r="AB47" s="5"/>
      <c r="AC47" s="112"/>
      <c r="AD47" s="5"/>
      <c r="AE47" s="113">
        <f t="shared" si="17"/>
        <v>1273.5700000000002</v>
      </c>
      <c r="AF47" s="75">
        <f t="shared" si="18"/>
        <v>1555.0350000000001</v>
      </c>
      <c r="AG47" s="84">
        <f t="shared" si="19"/>
        <v>6738.4850000000006</v>
      </c>
      <c r="AR47" s="91"/>
      <c r="AS47" s="92"/>
      <c r="AT47" s="91"/>
    </row>
    <row r="48" spans="2:46" s="90" customFormat="1" ht="14.25" customHeight="1">
      <c r="B48" s="107">
        <v>13</v>
      </c>
      <c r="C48" s="117" t="s">
        <v>463</v>
      </c>
      <c r="D48" s="118"/>
      <c r="E48" s="93">
        <v>12.3</v>
      </c>
      <c r="F48" s="114" t="s">
        <v>458</v>
      </c>
      <c r="G48" s="93">
        <v>3</v>
      </c>
      <c r="H48" s="81">
        <v>3125</v>
      </c>
      <c r="I48" s="81">
        <v>1.9665999999999999</v>
      </c>
      <c r="J48" s="5"/>
      <c r="K48" s="84">
        <f t="shared" si="11"/>
        <v>6145</v>
      </c>
      <c r="L48" s="5"/>
      <c r="M48" s="84">
        <f t="shared" si="12"/>
        <v>0</v>
      </c>
      <c r="N48" s="5"/>
      <c r="O48" s="111">
        <f t="shared" si="13"/>
        <v>0</v>
      </c>
      <c r="P48" s="84">
        <f t="shared" si="14"/>
        <v>75583.5</v>
      </c>
      <c r="Q48" s="5"/>
      <c r="R48" s="84">
        <f t="shared" si="15"/>
        <v>0</v>
      </c>
      <c r="S48" s="84">
        <f t="shared" si="16"/>
        <v>75583.5</v>
      </c>
      <c r="T48" s="5"/>
      <c r="U48" s="5"/>
      <c r="V48" s="5"/>
      <c r="W48" s="5"/>
      <c r="X48" s="5"/>
      <c r="Y48" s="5"/>
      <c r="Z48" s="5"/>
      <c r="AA48" s="112">
        <v>921.75</v>
      </c>
      <c r="AB48" s="5"/>
      <c r="AC48" s="5"/>
      <c r="AD48" s="5"/>
      <c r="AE48" s="113">
        <f t="shared" si="17"/>
        <v>921.75</v>
      </c>
      <c r="AF48" s="75">
        <f t="shared" si="18"/>
        <v>22951.575000000001</v>
      </c>
      <c r="AG48" s="84">
        <f t="shared" si="19"/>
        <v>99456.824999999997</v>
      </c>
      <c r="AR48" s="91"/>
      <c r="AS48" s="92"/>
      <c r="AT48" s="91"/>
    </row>
    <row r="49" spans="2:46" s="90" customFormat="1" ht="14.25" customHeight="1">
      <c r="B49" s="107">
        <v>14</v>
      </c>
      <c r="C49" s="119" t="s">
        <v>464</v>
      </c>
      <c r="D49" s="118"/>
      <c r="E49" s="93">
        <v>3.9</v>
      </c>
      <c r="F49" s="114" t="s">
        <v>458</v>
      </c>
      <c r="G49" s="93">
        <v>3</v>
      </c>
      <c r="H49" s="93">
        <v>3125</v>
      </c>
      <c r="I49" s="93">
        <v>1.9665999999999999</v>
      </c>
      <c r="J49" s="5"/>
      <c r="K49" s="84">
        <f t="shared" si="11"/>
        <v>6145</v>
      </c>
      <c r="L49" s="5">
        <v>0.2</v>
      </c>
      <c r="M49" s="84">
        <f t="shared" si="12"/>
        <v>1229</v>
      </c>
      <c r="N49" s="5"/>
      <c r="O49" s="111">
        <f t="shared" si="13"/>
        <v>0</v>
      </c>
      <c r="P49" s="84">
        <f t="shared" si="14"/>
        <v>28758.6</v>
      </c>
      <c r="Q49" s="5"/>
      <c r="R49" s="84">
        <f t="shared" si="15"/>
        <v>0</v>
      </c>
      <c r="S49" s="84">
        <f t="shared" si="16"/>
        <v>28758.6</v>
      </c>
      <c r="T49" s="5"/>
      <c r="U49" s="5"/>
      <c r="V49" s="5"/>
      <c r="W49" s="5"/>
      <c r="X49" s="5"/>
      <c r="Y49" s="5"/>
      <c r="Z49" s="5"/>
      <c r="AA49" s="112"/>
      <c r="AB49" s="5"/>
      <c r="AC49" s="5"/>
      <c r="AD49" s="5"/>
      <c r="AE49" s="113">
        <f t="shared" si="17"/>
        <v>0</v>
      </c>
      <c r="AF49" s="75">
        <f t="shared" si="18"/>
        <v>8627.58</v>
      </c>
      <c r="AG49" s="84">
        <f t="shared" si="19"/>
        <v>37386.18</v>
      </c>
      <c r="AR49" s="91"/>
      <c r="AS49" s="92"/>
      <c r="AT49" s="91"/>
    </row>
    <row r="50" spans="2:46" s="90" customFormat="1" ht="14.25" customHeight="1">
      <c r="B50" s="107">
        <v>15</v>
      </c>
      <c r="C50" s="117" t="s">
        <v>463</v>
      </c>
      <c r="D50" s="118"/>
      <c r="E50" s="93">
        <v>3.6</v>
      </c>
      <c r="F50" s="114" t="s">
        <v>458</v>
      </c>
      <c r="G50" s="93">
        <v>3</v>
      </c>
      <c r="H50" s="81">
        <v>3125</v>
      </c>
      <c r="I50" s="81">
        <v>1.9665999999999999</v>
      </c>
      <c r="J50" s="5"/>
      <c r="K50" s="84">
        <f t="shared" si="11"/>
        <v>6145</v>
      </c>
      <c r="L50" s="5"/>
      <c r="M50" s="84">
        <f t="shared" si="12"/>
        <v>0</v>
      </c>
      <c r="N50" s="5">
        <v>0.1</v>
      </c>
      <c r="O50" s="111">
        <f t="shared" si="13"/>
        <v>614.5</v>
      </c>
      <c r="P50" s="84">
        <f t="shared" si="14"/>
        <v>24334.2</v>
      </c>
      <c r="Q50" s="5"/>
      <c r="R50" s="84">
        <f t="shared" si="15"/>
        <v>0</v>
      </c>
      <c r="S50" s="84">
        <f t="shared" si="16"/>
        <v>24334.2</v>
      </c>
      <c r="T50" s="5"/>
      <c r="U50" s="5"/>
      <c r="V50" s="5"/>
      <c r="W50" s="5"/>
      <c r="X50" s="5"/>
      <c r="Y50" s="5"/>
      <c r="Z50" s="5"/>
      <c r="AA50" s="112">
        <v>1013.93</v>
      </c>
      <c r="AB50" s="5"/>
      <c r="AC50" s="5"/>
      <c r="AD50" s="5"/>
      <c r="AE50" s="113">
        <f t="shared" si="17"/>
        <v>1013.93</v>
      </c>
      <c r="AF50" s="75">
        <f t="shared" si="18"/>
        <v>7604.4390000000003</v>
      </c>
      <c r="AG50" s="84">
        <f t="shared" si="19"/>
        <v>32952.569000000003</v>
      </c>
      <c r="AR50" s="91"/>
      <c r="AS50" s="92"/>
      <c r="AT50" s="91"/>
    </row>
    <row r="51" spans="2:46" s="90" customFormat="1" ht="14.25" customHeight="1">
      <c r="B51" s="107">
        <v>16</v>
      </c>
      <c r="C51" s="117" t="s">
        <v>463</v>
      </c>
      <c r="D51" s="118"/>
      <c r="E51" s="93">
        <v>19.7</v>
      </c>
      <c r="F51" s="114" t="s">
        <v>458</v>
      </c>
      <c r="G51" s="93">
        <v>3</v>
      </c>
      <c r="H51" s="93">
        <v>3125</v>
      </c>
      <c r="I51" s="93">
        <v>1.8230999999999999</v>
      </c>
      <c r="J51" s="5"/>
      <c r="K51" s="84">
        <f t="shared" si="11"/>
        <v>5697</v>
      </c>
      <c r="L51" s="5"/>
      <c r="M51" s="84">
        <f t="shared" si="12"/>
        <v>0</v>
      </c>
      <c r="N51" s="5"/>
      <c r="O51" s="111">
        <f t="shared" si="13"/>
        <v>0</v>
      </c>
      <c r="P51" s="84">
        <f t="shared" si="14"/>
        <v>112230.9</v>
      </c>
      <c r="Q51" s="5"/>
      <c r="R51" s="84">
        <f t="shared" si="15"/>
        <v>0</v>
      </c>
      <c r="S51" s="84">
        <f t="shared" si="16"/>
        <v>112230.9</v>
      </c>
      <c r="T51" s="5"/>
      <c r="U51" s="5"/>
      <c r="V51" s="5"/>
      <c r="W51" s="5"/>
      <c r="X51" s="5"/>
      <c r="Y51" s="5"/>
      <c r="Z51" s="5"/>
      <c r="AA51" s="112">
        <v>854.55</v>
      </c>
      <c r="AB51" s="5"/>
      <c r="AC51" s="5"/>
      <c r="AD51" s="5"/>
      <c r="AE51" s="113">
        <f t="shared" si="17"/>
        <v>854.55</v>
      </c>
      <c r="AF51" s="75">
        <f t="shared" si="18"/>
        <v>33925.634999999995</v>
      </c>
      <c r="AG51" s="84">
        <f t="shared" si="19"/>
        <v>147011.08499999999</v>
      </c>
      <c r="AR51" s="91"/>
      <c r="AS51" s="92"/>
      <c r="AT51" s="91"/>
    </row>
    <row r="52" spans="2:46" s="90" customFormat="1" ht="14.25" customHeight="1">
      <c r="B52" s="107">
        <v>17</v>
      </c>
      <c r="C52" s="117" t="s">
        <v>463</v>
      </c>
      <c r="D52" s="118"/>
      <c r="E52" s="93">
        <v>1.4</v>
      </c>
      <c r="F52" s="114" t="s">
        <v>458</v>
      </c>
      <c r="G52" s="93">
        <v>3</v>
      </c>
      <c r="H52" s="93">
        <v>3125</v>
      </c>
      <c r="I52" s="93">
        <v>1.8230999999999999</v>
      </c>
      <c r="J52" s="5"/>
      <c r="K52" s="84">
        <f t="shared" si="11"/>
        <v>5697</v>
      </c>
      <c r="L52" s="5"/>
      <c r="M52" s="84">
        <f t="shared" si="12"/>
        <v>0</v>
      </c>
      <c r="N52" s="5">
        <v>0.1</v>
      </c>
      <c r="O52" s="120">
        <v>570</v>
      </c>
      <c r="P52" s="84">
        <f t="shared" si="14"/>
        <v>8773.7999999999993</v>
      </c>
      <c r="Q52" s="5"/>
      <c r="R52" s="84">
        <f t="shared" si="15"/>
        <v>0</v>
      </c>
      <c r="S52" s="84">
        <f t="shared" si="16"/>
        <v>8773.7999999999993</v>
      </c>
      <c r="T52" s="5"/>
      <c r="U52" s="5"/>
      <c r="V52" s="5"/>
      <c r="W52" s="5"/>
      <c r="X52" s="5"/>
      <c r="Y52" s="5"/>
      <c r="Z52" s="5"/>
      <c r="AA52" s="112">
        <v>940.05</v>
      </c>
      <c r="AB52" s="5"/>
      <c r="AC52" s="5"/>
      <c r="AD52" s="5"/>
      <c r="AE52" s="113">
        <f t="shared" si="17"/>
        <v>940.05</v>
      </c>
      <c r="AF52" s="75">
        <f t="shared" si="18"/>
        <v>2914.1549999999993</v>
      </c>
      <c r="AG52" s="84">
        <f t="shared" si="19"/>
        <v>12628.004999999997</v>
      </c>
      <c r="AR52" s="91"/>
      <c r="AS52" s="92"/>
      <c r="AT52" s="91"/>
    </row>
    <row r="53" spans="2:46" s="90" customFormat="1" ht="14.25" customHeight="1">
      <c r="B53" s="107">
        <v>18</v>
      </c>
      <c r="C53" s="117" t="s">
        <v>463</v>
      </c>
      <c r="D53" s="94"/>
      <c r="E53" s="93">
        <v>4.9000000000000004</v>
      </c>
      <c r="F53" s="114" t="s">
        <v>458</v>
      </c>
      <c r="G53" s="93">
        <v>3</v>
      </c>
      <c r="H53" s="81">
        <v>3125</v>
      </c>
      <c r="I53" s="93">
        <v>1.6802999999999999</v>
      </c>
      <c r="J53" s="5"/>
      <c r="K53" s="84">
        <v>5251</v>
      </c>
      <c r="L53" s="5"/>
      <c r="M53" s="84">
        <f t="shared" si="12"/>
        <v>0</v>
      </c>
      <c r="N53" s="5"/>
      <c r="O53" s="111">
        <f t="shared" si="13"/>
        <v>0</v>
      </c>
      <c r="P53" s="84">
        <f t="shared" si="14"/>
        <v>25729.9</v>
      </c>
      <c r="Q53" s="5"/>
      <c r="R53" s="84">
        <f t="shared" si="15"/>
        <v>0</v>
      </c>
      <c r="S53" s="84">
        <f t="shared" si="16"/>
        <v>25729.9</v>
      </c>
      <c r="T53" s="5"/>
      <c r="U53" s="5"/>
      <c r="V53" s="5"/>
      <c r="W53" s="5"/>
      <c r="X53" s="5"/>
      <c r="Y53" s="5"/>
      <c r="Z53" s="5"/>
      <c r="AA53" s="112">
        <v>1575.3</v>
      </c>
      <c r="AB53" s="5"/>
      <c r="AC53" s="5"/>
      <c r="AD53" s="5"/>
      <c r="AE53" s="113">
        <f t="shared" si="17"/>
        <v>1575.3</v>
      </c>
      <c r="AF53" s="75">
        <f t="shared" si="18"/>
        <v>8191.5599999999995</v>
      </c>
      <c r="AG53" s="84">
        <f t="shared" si="19"/>
        <v>35496.76</v>
      </c>
      <c r="AR53" s="91"/>
      <c r="AS53" s="92"/>
      <c r="AT53" s="91"/>
    </row>
    <row r="54" spans="2:46" s="90" customFormat="1" ht="14.25" customHeight="1">
      <c r="B54" s="107">
        <v>19</v>
      </c>
      <c r="C54" s="117" t="s">
        <v>463</v>
      </c>
      <c r="D54" s="94"/>
      <c r="E54" s="93">
        <v>1.7</v>
      </c>
      <c r="F54" s="114" t="s">
        <v>458</v>
      </c>
      <c r="G54" s="93">
        <v>3</v>
      </c>
      <c r="H54" s="93">
        <v>3125</v>
      </c>
      <c r="I54" s="93">
        <v>1.5732999999999999</v>
      </c>
      <c r="J54" s="5"/>
      <c r="K54" s="84">
        <f>INT(IF(AND(H54="",I54="",J54=""),0,IF(H54="",1,H54)*IF(I54="",1,I54)*IF(J54="",1,J54)))</f>
        <v>4916</v>
      </c>
      <c r="L54" s="5"/>
      <c r="M54" s="84">
        <f t="shared" si="12"/>
        <v>0</v>
      </c>
      <c r="N54" s="5"/>
      <c r="O54" s="111">
        <f t="shared" si="13"/>
        <v>0</v>
      </c>
      <c r="P54" s="84">
        <f t="shared" si="14"/>
        <v>8357.1999999999989</v>
      </c>
      <c r="Q54" s="5"/>
      <c r="R54" s="84">
        <f t="shared" si="15"/>
        <v>0</v>
      </c>
      <c r="S54" s="84">
        <f t="shared" si="16"/>
        <v>8357.1999999999989</v>
      </c>
      <c r="T54" s="5"/>
      <c r="U54" s="112"/>
      <c r="V54" s="5"/>
      <c r="W54" s="5"/>
      <c r="X54" s="5"/>
      <c r="Y54" s="5"/>
      <c r="Z54" s="5"/>
      <c r="AA54" s="112"/>
      <c r="AB54" s="5"/>
      <c r="AC54" s="5"/>
      <c r="AD54" s="5"/>
      <c r="AE54" s="113">
        <f t="shared" si="17"/>
        <v>0</v>
      </c>
      <c r="AF54" s="75">
        <f t="shared" si="18"/>
        <v>2507.1599999999994</v>
      </c>
      <c r="AG54" s="84">
        <f t="shared" si="19"/>
        <v>10864.359999999999</v>
      </c>
      <c r="AR54" s="91"/>
      <c r="AS54" s="92"/>
      <c r="AT54" s="91"/>
    </row>
    <row r="55" spans="2:46" s="90" customFormat="1" ht="14.25" customHeight="1">
      <c r="B55" s="107">
        <v>20</v>
      </c>
      <c r="C55" s="119" t="s">
        <v>464</v>
      </c>
      <c r="D55" s="94"/>
      <c r="E55" s="93">
        <v>1.5</v>
      </c>
      <c r="F55" s="114" t="s">
        <v>458</v>
      </c>
      <c r="G55" s="93">
        <v>3</v>
      </c>
      <c r="H55" s="93">
        <v>3125</v>
      </c>
      <c r="I55" s="93">
        <v>1.5732999999999999</v>
      </c>
      <c r="J55" s="5"/>
      <c r="K55" s="84">
        <f>INT(IF(AND(H55="",I55="",J55=""),0,IF(H55="",1,H55)*IF(I55="",1,I55)*IF(J55="",1,J55)))</f>
        <v>4916</v>
      </c>
      <c r="L55" s="5">
        <v>0.2</v>
      </c>
      <c r="M55" s="84">
        <f t="shared" si="12"/>
        <v>983.2</v>
      </c>
      <c r="N55" s="5"/>
      <c r="O55" s="111">
        <f t="shared" si="13"/>
        <v>0</v>
      </c>
      <c r="P55" s="84">
        <f t="shared" si="14"/>
        <v>8848.7999999999993</v>
      </c>
      <c r="Q55" s="5"/>
      <c r="R55" s="84">
        <f t="shared" si="15"/>
        <v>0</v>
      </c>
      <c r="S55" s="84">
        <f t="shared" si="16"/>
        <v>8848.7999999999993</v>
      </c>
      <c r="T55" s="5"/>
      <c r="U55" s="112"/>
      <c r="V55" s="5"/>
      <c r="W55" s="5"/>
      <c r="X55" s="5"/>
      <c r="Y55" s="5"/>
      <c r="Z55" s="5"/>
      <c r="AA55" s="112">
        <v>884.88</v>
      </c>
      <c r="AB55" s="5"/>
      <c r="AC55" s="5"/>
      <c r="AD55" s="5"/>
      <c r="AE55" s="113">
        <f t="shared" si="17"/>
        <v>884.88</v>
      </c>
      <c r="AF55" s="75">
        <f t="shared" si="18"/>
        <v>2920.1039999999994</v>
      </c>
      <c r="AG55" s="84">
        <f t="shared" si="19"/>
        <v>12653.783999999998</v>
      </c>
      <c r="AR55" s="91"/>
      <c r="AS55" s="92"/>
      <c r="AT55" s="91"/>
    </row>
    <row r="56" spans="2:46" s="90" customFormat="1" ht="14.25" customHeight="1">
      <c r="B56" s="107">
        <v>21</v>
      </c>
      <c r="C56" s="117" t="s">
        <v>463</v>
      </c>
      <c r="D56" s="94"/>
      <c r="E56" s="93">
        <v>3.9</v>
      </c>
      <c r="F56" s="114" t="s">
        <v>458</v>
      </c>
      <c r="G56" s="93">
        <v>3</v>
      </c>
      <c r="H56" s="81">
        <v>3125</v>
      </c>
      <c r="I56" s="93">
        <v>1.4298</v>
      </c>
      <c r="J56" s="5"/>
      <c r="K56" s="84">
        <f>INT(IF(AND(H56="",I56="",J56=""),0,IF(H56="",1,H56)*IF(I56="",1,I56)*IF(J56="",1,J56)))</f>
        <v>4468</v>
      </c>
      <c r="L56" s="5"/>
      <c r="M56" s="84">
        <f t="shared" si="12"/>
        <v>0</v>
      </c>
      <c r="N56" s="5"/>
      <c r="O56" s="111">
        <f t="shared" si="13"/>
        <v>0</v>
      </c>
      <c r="P56" s="84">
        <f t="shared" si="14"/>
        <v>17425.2</v>
      </c>
      <c r="Q56" s="5"/>
      <c r="R56" s="84">
        <f t="shared" si="15"/>
        <v>0</v>
      </c>
      <c r="S56" s="84">
        <f t="shared" si="16"/>
        <v>17425.2</v>
      </c>
      <c r="T56" s="5">
        <v>4</v>
      </c>
      <c r="U56" s="5">
        <v>357.44</v>
      </c>
      <c r="V56" s="5"/>
      <c r="W56" s="5"/>
      <c r="X56" s="5"/>
      <c r="Y56" s="5"/>
      <c r="Z56" s="5"/>
      <c r="AA56" s="5">
        <v>1340.39</v>
      </c>
      <c r="AB56" s="5"/>
      <c r="AC56" s="5"/>
      <c r="AD56" s="5"/>
      <c r="AE56" s="113">
        <f t="shared" si="17"/>
        <v>1697.8300000000002</v>
      </c>
      <c r="AF56" s="75">
        <f t="shared" si="18"/>
        <v>5736.9090000000006</v>
      </c>
      <c r="AG56" s="84">
        <f t="shared" si="19"/>
        <v>24859.939000000002</v>
      </c>
      <c r="AR56" s="91"/>
      <c r="AS56" s="92"/>
      <c r="AT56" s="91"/>
    </row>
    <row r="57" spans="2:46" s="90" customFormat="1" ht="14.25" customHeight="1">
      <c r="B57" s="107">
        <v>22</v>
      </c>
      <c r="C57" s="117" t="s">
        <v>463</v>
      </c>
      <c r="D57" s="94"/>
      <c r="E57" s="93">
        <v>1.7</v>
      </c>
      <c r="F57" s="114" t="s">
        <v>458</v>
      </c>
      <c r="G57" s="93">
        <v>3</v>
      </c>
      <c r="H57" s="81">
        <v>3125</v>
      </c>
      <c r="I57" s="93">
        <v>1.3221000000000001</v>
      </c>
      <c r="J57" s="5"/>
      <c r="K57" s="84">
        <f>INT(IF(AND(H57="",I57="",J57=""),0,IF(H57="",1,H57)*IF(I57="",1,I57)*IF(J57="",1,J57)))</f>
        <v>4131</v>
      </c>
      <c r="L57" s="5"/>
      <c r="M57" s="84">
        <f t="shared" si="12"/>
        <v>0</v>
      </c>
      <c r="N57" s="5"/>
      <c r="O57" s="111">
        <f t="shared" si="13"/>
        <v>0</v>
      </c>
      <c r="P57" s="84">
        <f t="shared" si="14"/>
        <v>7022.7</v>
      </c>
      <c r="Q57" s="5"/>
      <c r="R57" s="84">
        <f t="shared" si="15"/>
        <v>0</v>
      </c>
      <c r="S57" s="84">
        <f t="shared" si="16"/>
        <v>7022.7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3">
        <f t="shared" si="17"/>
        <v>0</v>
      </c>
      <c r="AF57" s="75">
        <f t="shared" si="18"/>
        <v>2106.81</v>
      </c>
      <c r="AG57" s="84">
        <f t="shared" si="19"/>
        <v>9129.51</v>
      </c>
      <c r="AR57" s="91"/>
      <c r="AS57" s="92"/>
      <c r="AT57" s="91"/>
    </row>
    <row r="58" spans="2:46" s="90" customFormat="1" ht="14.25" customHeight="1">
      <c r="B58" s="107">
        <v>23</v>
      </c>
      <c r="C58" s="117" t="s">
        <v>463</v>
      </c>
      <c r="D58" s="94"/>
      <c r="E58" s="93">
        <v>1.7</v>
      </c>
      <c r="F58" s="114" t="s">
        <v>458</v>
      </c>
      <c r="G58" s="93">
        <v>3</v>
      </c>
      <c r="H58" s="81">
        <v>3125</v>
      </c>
      <c r="I58" s="93">
        <v>1.21472</v>
      </c>
      <c r="J58" s="5"/>
      <c r="K58" s="84">
        <f>INT(IF(AND(H58="",I58="",J58=""),0,IF(H58="",1,H58)*IF(I58="",1,I58)*IF(J58="",1,J58)))</f>
        <v>3796</v>
      </c>
      <c r="L58" s="5"/>
      <c r="M58" s="84">
        <f t="shared" si="12"/>
        <v>0</v>
      </c>
      <c r="N58" s="5"/>
      <c r="O58" s="111">
        <f t="shared" si="13"/>
        <v>0</v>
      </c>
      <c r="P58" s="84">
        <f t="shared" si="14"/>
        <v>6453.2</v>
      </c>
      <c r="Q58" s="5"/>
      <c r="R58" s="84">
        <f t="shared" si="15"/>
        <v>0</v>
      </c>
      <c r="S58" s="84">
        <f t="shared" si="16"/>
        <v>6453.2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3">
        <f t="shared" si="17"/>
        <v>0</v>
      </c>
      <c r="AF58" s="75">
        <f t="shared" si="18"/>
        <v>1935.9599999999998</v>
      </c>
      <c r="AG58" s="84">
        <f t="shared" si="19"/>
        <v>8389.16</v>
      </c>
      <c r="AR58" s="91"/>
      <c r="AS58" s="92"/>
      <c r="AT58" s="91"/>
    </row>
    <row r="59" spans="2:46" s="90" customFormat="1" ht="14.25" customHeight="1">
      <c r="B59" s="107"/>
      <c r="C59" s="117"/>
      <c r="D59" s="94"/>
      <c r="E59" s="93"/>
      <c r="F59" s="114"/>
      <c r="G59" s="93"/>
      <c r="H59" s="81"/>
      <c r="I59" s="93"/>
      <c r="J59" s="5"/>
      <c r="K59" s="84">
        <f t="shared" ref="K59:K69" si="20">INT(IF(AND(H59="",I59="",J59=""),0,IF(H59="",1,H59)*IF(I59="",1,I59)*IF(J59="",1,J59)))</f>
        <v>0</v>
      </c>
      <c r="L59" s="5"/>
      <c r="M59" s="84">
        <f t="shared" si="12"/>
        <v>0</v>
      </c>
      <c r="N59" s="5"/>
      <c r="O59" s="111">
        <f t="shared" si="13"/>
        <v>0</v>
      </c>
      <c r="P59" s="84">
        <f t="shared" si="14"/>
        <v>0</v>
      </c>
      <c r="Q59" s="5"/>
      <c r="R59" s="84">
        <f t="shared" si="15"/>
        <v>0</v>
      </c>
      <c r="S59" s="84">
        <f t="shared" si="16"/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3"/>
      <c r="AF59" s="75"/>
      <c r="AG59" s="84"/>
      <c r="AR59" s="91"/>
      <c r="AS59" s="92"/>
      <c r="AT59" s="91"/>
    </row>
    <row r="60" spans="2:46" s="90" customFormat="1" ht="14.25" customHeight="1">
      <c r="B60" s="107"/>
      <c r="C60" s="118"/>
      <c r="D60" s="94"/>
      <c r="E60" s="93"/>
      <c r="F60" s="114"/>
      <c r="G60" s="93"/>
      <c r="H60" s="81"/>
      <c r="I60" s="93"/>
      <c r="J60" s="5"/>
      <c r="K60" s="84">
        <f t="shared" si="20"/>
        <v>0</v>
      </c>
      <c r="L60" s="5"/>
      <c r="M60" s="84">
        <f t="shared" si="12"/>
        <v>0</v>
      </c>
      <c r="N60" s="5"/>
      <c r="O60" s="111">
        <f t="shared" si="13"/>
        <v>0</v>
      </c>
      <c r="P60" s="84">
        <f t="shared" si="14"/>
        <v>0</v>
      </c>
      <c r="Q60" s="5"/>
      <c r="R60" s="84">
        <f t="shared" si="15"/>
        <v>0</v>
      </c>
      <c r="S60" s="84">
        <f t="shared" si="16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3"/>
      <c r="AF60" s="75"/>
      <c r="AG60" s="84"/>
      <c r="AR60" s="91"/>
      <c r="AS60" s="92"/>
      <c r="AT60" s="91"/>
    </row>
    <row r="61" spans="2:46" s="90" customFormat="1" ht="14.25" customHeight="1">
      <c r="B61" s="107"/>
      <c r="C61" s="118"/>
      <c r="D61" s="94"/>
      <c r="E61" s="93"/>
      <c r="F61" s="114"/>
      <c r="G61" s="93"/>
      <c r="H61" s="81"/>
      <c r="I61" s="93"/>
      <c r="J61" s="5"/>
      <c r="K61" s="84">
        <f t="shared" si="20"/>
        <v>0</v>
      </c>
      <c r="L61" s="5"/>
      <c r="M61" s="84">
        <f t="shared" si="12"/>
        <v>0</v>
      </c>
      <c r="N61" s="5"/>
      <c r="O61" s="111">
        <f t="shared" si="13"/>
        <v>0</v>
      </c>
      <c r="P61" s="84">
        <f t="shared" si="14"/>
        <v>0</v>
      </c>
      <c r="Q61" s="5"/>
      <c r="R61" s="84">
        <f t="shared" si="15"/>
        <v>0</v>
      </c>
      <c r="S61" s="84">
        <f t="shared" si="16"/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3"/>
      <c r="AF61" s="75"/>
      <c r="AG61" s="84"/>
      <c r="AR61" s="91"/>
      <c r="AS61" s="92"/>
      <c r="AT61" s="91"/>
    </row>
    <row r="62" spans="2:46" s="90" customFormat="1" ht="14.25" customHeight="1">
      <c r="B62" s="107"/>
      <c r="C62" s="118"/>
      <c r="D62" s="94"/>
      <c r="E62" s="93"/>
      <c r="F62" s="114"/>
      <c r="G62" s="93"/>
      <c r="H62" s="81"/>
      <c r="I62" s="93"/>
      <c r="J62" s="5"/>
      <c r="K62" s="84">
        <f t="shared" si="20"/>
        <v>0</v>
      </c>
      <c r="L62" s="5"/>
      <c r="M62" s="84">
        <f t="shared" si="12"/>
        <v>0</v>
      </c>
      <c r="N62" s="5"/>
      <c r="O62" s="111">
        <f t="shared" si="13"/>
        <v>0</v>
      </c>
      <c r="P62" s="84">
        <f t="shared" si="14"/>
        <v>0</v>
      </c>
      <c r="Q62" s="5"/>
      <c r="R62" s="84">
        <f t="shared" si="15"/>
        <v>0</v>
      </c>
      <c r="S62" s="84">
        <f t="shared" si="16"/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3"/>
      <c r="AF62" s="75"/>
      <c r="AG62" s="84"/>
      <c r="AR62" s="91"/>
      <c r="AS62" s="92"/>
      <c r="AT62" s="91"/>
    </row>
    <row r="63" spans="2:46" s="90" customFormat="1" ht="14.25" customHeight="1">
      <c r="B63" s="107"/>
      <c r="C63" s="118"/>
      <c r="D63" s="94"/>
      <c r="E63" s="93"/>
      <c r="F63" s="114"/>
      <c r="G63" s="93"/>
      <c r="H63" s="81"/>
      <c r="I63" s="93"/>
      <c r="J63" s="5"/>
      <c r="K63" s="84">
        <f t="shared" si="20"/>
        <v>0</v>
      </c>
      <c r="L63" s="5"/>
      <c r="M63" s="84">
        <f t="shared" si="12"/>
        <v>0</v>
      </c>
      <c r="N63" s="5"/>
      <c r="O63" s="111">
        <f t="shared" si="13"/>
        <v>0</v>
      </c>
      <c r="P63" s="84">
        <f t="shared" si="14"/>
        <v>0</v>
      </c>
      <c r="Q63" s="5"/>
      <c r="R63" s="84">
        <f t="shared" si="15"/>
        <v>0</v>
      </c>
      <c r="S63" s="84">
        <f t="shared" si="16"/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3"/>
      <c r="AF63" s="75"/>
      <c r="AG63" s="84"/>
      <c r="AR63" s="91"/>
      <c r="AS63" s="92"/>
      <c r="AT63" s="91"/>
    </row>
    <row r="64" spans="2:46" s="90" customFormat="1" ht="14.25" customHeight="1">
      <c r="B64" s="107"/>
      <c r="C64" s="118"/>
      <c r="D64" s="94"/>
      <c r="E64" s="93"/>
      <c r="F64" s="114"/>
      <c r="G64" s="93"/>
      <c r="H64" s="81"/>
      <c r="I64" s="93"/>
      <c r="J64" s="5"/>
      <c r="K64" s="84">
        <f t="shared" si="20"/>
        <v>0</v>
      </c>
      <c r="L64" s="5"/>
      <c r="M64" s="84">
        <f t="shared" si="12"/>
        <v>0</v>
      </c>
      <c r="N64" s="5"/>
      <c r="O64" s="111">
        <f t="shared" si="13"/>
        <v>0</v>
      </c>
      <c r="P64" s="84">
        <f t="shared" si="14"/>
        <v>0</v>
      </c>
      <c r="Q64" s="5"/>
      <c r="R64" s="84">
        <f t="shared" si="15"/>
        <v>0</v>
      </c>
      <c r="S64" s="84">
        <f t="shared" si="16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3"/>
      <c r="AF64" s="75"/>
      <c r="AG64" s="84"/>
      <c r="AR64" s="91"/>
      <c r="AS64" s="92"/>
      <c r="AT64" s="91"/>
    </row>
    <row r="65" spans="2:46" s="90" customFormat="1" ht="14.25" customHeight="1">
      <c r="B65" s="107"/>
      <c r="C65" s="118"/>
      <c r="D65" s="94"/>
      <c r="E65" s="93"/>
      <c r="F65" s="114"/>
      <c r="G65" s="93"/>
      <c r="H65" s="81"/>
      <c r="I65" s="93"/>
      <c r="J65" s="5"/>
      <c r="K65" s="84">
        <f t="shared" si="20"/>
        <v>0</v>
      </c>
      <c r="L65" s="5"/>
      <c r="M65" s="84">
        <f t="shared" si="12"/>
        <v>0</v>
      </c>
      <c r="N65" s="5"/>
      <c r="O65" s="111">
        <f t="shared" si="13"/>
        <v>0</v>
      </c>
      <c r="P65" s="84">
        <f t="shared" si="14"/>
        <v>0</v>
      </c>
      <c r="Q65" s="5"/>
      <c r="R65" s="84">
        <f t="shared" si="15"/>
        <v>0</v>
      </c>
      <c r="S65" s="84">
        <f t="shared" si="16"/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3"/>
      <c r="AF65" s="75"/>
      <c r="AG65" s="84"/>
      <c r="AR65" s="91"/>
      <c r="AS65" s="92"/>
      <c r="AT65" s="91"/>
    </row>
    <row r="66" spans="2:46" s="90" customFormat="1" ht="14.25" customHeight="1">
      <c r="B66" s="107"/>
      <c r="C66" s="118"/>
      <c r="D66" s="94"/>
      <c r="E66" s="93"/>
      <c r="F66" s="114"/>
      <c r="G66" s="93"/>
      <c r="H66" s="81"/>
      <c r="I66" s="93"/>
      <c r="J66" s="5"/>
      <c r="K66" s="84">
        <f t="shared" si="20"/>
        <v>0</v>
      </c>
      <c r="L66" s="5"/>
      <c r="M66" s="84">
        <f t="shared" si="12"/>
        <v>0</v>
      </c>
      <c r="N66" s="5"/>
      <c r="O66" s="111">
        <f t="shared" si="13"/>
        <v>0</v>
      </c>
      <c r="P66" s="84">
        <f t="shared" si="14"/>
        <v>0</v>
      </c>
      <c r="Q66" s="5"/>
      <c r="R66" s="84">
        <f t="shared" si="15"/>
        <v>0</v>
      </c>
      <c r="S66" s="84">
        <f t="shared" si="16"/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3"/>
      <c r="AF66" s="75"/>
      <c r="AG66" s="84"/>
      <c r="AR66" s="91"/>
      <c r="AS66" s="92"/>
      <c r="AT66" s="91"/>
    </row>
    <row r="67" spans="2:46" s="90" customFormat="1" ht="14.25" customHeight="1">
      <c r="B67" s="107"/>
      <c r="C67" s="118"/>
      <c r="D67" s="94"/>
      <c r="E67" s="93"/>
      <c r="F67" s="114"/>
      <c r="G67" s="93"/>
      <c r="H67" s="81"/>
      <c r="I67" s="93"/>
      <c r="J67" s="5"/>
      <c r="K67" s="84">
        <f t="shared" si="20"/>
        <v>0</v>
      </c>
      <c r="L67" s="5"/>
      <c r="M67" s="84">
        <f t="shared" si="12"/>
        <v>0</v>
      </c>
      <c r="N67" s="5"/>
      <c r="O67" s="111">
        <f t="shared" si="13"/>
        <v>0</v>
      </c>
      <c r="P67" s="84">
        <f t="shared" si="14"/>
        <v>0</v>
      </c>
      <c r="Q67" s="5"/>
      <c r="R67" s="84">
        <f t="shared" si="15"/>
        <v>0</v>
      </c>
      <c r="S67" s="84">
        <f t="shared" si="16"/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3"/>
      <c r="AF67" s="75"/>
      <c r="AG67" s="84"/>
      <c r="AR67" s="91"/>
      <c r="AS67" s="92"/>
      <c r="AT67" s="91"/>
    </row>
    <row r="68" spans="2:46" s="90" customFormat="1" ht="14.25" customHeight="1">
      <c r="B68" s="107"/>
      <c r="C68" s="118"/>
      <c r="D68" s="94"/>
      <c r="E68" s="93"/>
      <c r="F68" s="114"/>
      <c r="G68" s="93"/>
      <c r="H68" s="81"/>
      <c r="I68" s="93"/>
      <c r="J68" s="5"/>
      <c r="K68" s="84">
        <f t="shared" si="20"/>
        <v>0</v>
      </c>
      <c r="L68" s="5"/>
      <c r="M68" s="84">
        <f t="shared" si="12"/>
        <v>0</v>
      </c>
      <c r="N68" s="5"/>
      <c r="O68" s="111">
        <f t="shared" si="13"/>
        <v>0</v>
      </c>
      <c r="P68" s="84">
        <f t="shared" si="14"/>
        <v>0</v>
      </c>
      <c r="Q68" s="5"/>
      <c r="R68" s="84">
        <f t="shared" si="15"/>
        <v>0</v>
      </c>
      <c r="S68" s="84">
        <f t="shared" si="16"/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3"/>
      <c r="AF68" s="75"/>
      <c r="AG68" s="84"/>
      <c r="AR68" s="91"/>
      <c r="AS68" s="92"/>
      <c r="AT68" s="91"/>
    </row>
    <row r="69" spans="2:46" s="90" customFormat="1" ht="14.25" customHeight="1">
      <c r="B69" s="107">
        <v>24</v>
      </c>
      <c r="C69" s="117" t="s">
        <v>465</v>
      </c>
      <c r="D69" s="118"/>
      <c r="E69" s="93">
        <v>1</v>
      </c>
      <c r="F69" s="114" t="s">
        <v>458</v>
      </c>
      <c r="G69" s="93">
        <v>4</v>
      </c>
      <c r="H69" s="81">
        <v>3125</v>
      </c>
      <c r="I69" s="81">
        <v>1.9665999999999999</v>
      </c>
      <c r="J69" s="5"/>
      <c r="K69" s="84">
        <f t="shared" si="20"/>
        <v>6145</v>
      </c>
      <c r="L69" s="5"/>
      <c r="M69" s="84">
        <f t="shared" si="12"/>
        <v>0</v>
      </c>
      <c r="N69" s="5"/>
      <c r="O69" s="111">
        <f t="shared" si="13"/>
        <v>0</v>
      </c>
      <c r="P69" s="84">
        <f t="shared" si="14"/>
        <v>6145</v>
      </c>
      <c r="Q69" s="5"/>
      <c r="R69" s="84">
        <f t="shared" si="15"/>
        <v>0</v>
      </c>
      <c r="S69" s="84">
        <f t="shared" si="16"/>
        <v>6145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3">
        <f t="shared" si="17"/>
        <v>0</v>
      </c>
      <c r="AF69" s="75">
        <f t="shared" si="18"/>
        <v>1843.5</v>
      </c>
      <c r="AG69" s="84">
        <f t="shared" si="19"/>
        <v>7988.5</v>
      </c>
      <c r="AR69" s="91"/>
      <c r="AS69" s="92"/>
      <c r="AT69" s="91"/>
    </row>
    <row r="70" spans="2:46" ht="15" thickBot="1">
      <c r="B70" s="98"/>
      <c r="C70" s="99" t="s">
        <v>240</v>
      </c>
      <c r="D70" s="99"/>
      <c r="E70" s="121">
        <f>SUM(E36:E69)</f>
        <v>133.57999999999998</v>
      </c>
      <c r="F70" s="100"/>
      <c r="G70" s="100"/>
      <c r="H70" s="100"/>
      <c r="I70" s="100"/>
      <c r="J70" s="100"/>
      <c r="K70" s="121">
        <f>SUM(K36:K69)</f>
        <v>126010</v>
      </c>
      <c r="L70" s="100"/>
      <c r="M70" s="121">
        <f>SUM(M36:M69)</f>
        <v>3441.2</v>
      </c>
      <c r="N70" s="100"/>
      <c r="O70" s="121">
        <f>SUM(O36:O69)</f>
        <v>2291</v>
      </c>
      <c r="P70" s="121">
        <f>SUM(P36:P69)</f>
        <v>773763.67499999993</v>
      </c>
      <c r="Q70" s="100"/>
      <c r="R70" s="121">
        <f>SUM(R36:R69)</f>
        <v>0</v>
      </c>
      <c r="S70" s="121">
        <f>SUM(S36:S69)</f>
        <v>773763.67499999993</v>
      </c>
      <c r="T70" s="100"/>
      <c r="U70" s="121">
        <f>SUM(U36:U69)</f>
        <v>2302.5</v>
      </c>
      <c r="V70" s="121">
        <f>SUM(V36:V69)</f>
        <v>0</v>
      </c>
      <c r="W70" s="121">
        <f>SUM(W36:W69)</f>
        <v>0</v>
      </c>
      <c r="X70" s="100"/>
      <c r="Y70" s="121">
        <f>SUM(Y36:Y69)</f>
        <v>30874.59</v>
      </c>
      <c r="Z70" s="100"/>
      <c r="AA70" s="121">
        <f>SUM(AA36:AA69)</f>
        <v>56329.25</v>
      </c>
      <c r="AB70" s="100"/>
      <c r="AC70" s="121">
        <f>SUM(AC36:AC69)</f>
        <v>17580.63</v>
      </c>
      <c r="AD70" s="121">
        <f>SUM(AD36:AD69)</f>
        <v>0</v>
      </c>
      <c r="AE70" s="121">
        <f>SUM(AE36:AE69)</f>
        <v>107086.97000000002</v>
      </c>
      <c r="AF70" s="121">
        <f>SUM(AF36:AF69)</f>
        <v>264255.19349999999</v>
      </c>
      <c r="AG70" s="121">
        <f>SUM(AG36:AG69)</f>
        <v>1145105.8385000001</v>
      </c>
    </row>
    <row r="71" spans="2:46" ht="40.200000000000003">
      <c r="B71" s="104"/>
      <c r="C71" s="105" t="s">
        <v>381</v>
      </c>
      <c r="D71" s="105"/>
      <c r="E71" s="73"/>
      <c r="F71" s="73"/>
      <c r="G71" s="73"/>
      <c r="H71" s="73"/>
      <c r="I71" s="73"/>
      <c r="J71" s="73"/>
      <c r="K71" s="75"/>
      <c r="L71" s="73"/>
      <c r="M71" s="106"/>
      <c r="N71" s="73"/>
      <c r="O71" s="73"/>
      <c r="P71" s="75"/>
      <c r="Q71" s="73"/>
      <c r="R71" s="73"/>
      <c r="S71" s="75"/>
      <c r="T71" s="73"/>
      <c r="U71" s="76"/>
      <c r="V71" s="77"/>
      <c r="W71" s="77"/>
      <c r="X71" s="77"/>
      <c r="Y71" s="77"/>
      <c r="Z71" s="77"/>
      <c r="AA71" s="77"/>
      <c r="AB71" s="77"/>
      <c r="AC71" s="73"/>
      <c r="AD71" s="73"/>
      <c r="AE71" s="73"/>
      <c r="AF71" s="75"/>
      <c r="AG71" s="75"/>
    </row>
    <row r="72" spans="2:46" s="90" customFormat="1" ht="15" customHeight="1">
      <c r="B72" s="122">
        <v>1</v>
      </c>
      <c r="C72" s="123" t="s">
        <v>466</v>
      </c>
      <c r="D72" s="7"/>
      <c r="E72" s="5">
        <v>1</v>
      </c>
      <c r="F72" s="124" t="s">
        <v>458</v>
      </c>
      <c r="G72" s="5">
        <v>4</v>
      </c>
      <c r="H72" s="5">
        <v>3125</v>
      </c>
      <c r="I72" s="5">
        <v>1.9665999999999999</v>
      </c>
      <c r="J72" s="5"/>
      <c r="K72" s="84">
        <f t="shared" ref="K72:K81" si="21">INT(IF(AND(H72="",I72="",J72=""),0,IF(H72="",1,H72)*IF(I72="",1,I72)*IF(J72="",1,J72)))</f>
        <v>6145</v>
      </c>
      <c r="L72" s="5"/>
      <c r="M72" s="84">
        <f t="shared" ref="M72:M81" si="22">L72*K72</f>
        <v>0</v>
      </c>
      <c r="N72" s="5">
        <v>0.1</v>
      </c>
      <c r="O72" s="111">
        <f t="shared" ref="O72:O81" si="23">N72*K72</f>
        <v>614.5</v>
      </c>
      <c r="P72" s="84">
        <f t="shared" ref="P72:P81" si="24">(K72+M72+O72)*E72</f>
        <v>6759.5</v>
      </c>
      <c r="Q72" s="5"/>
      <c r="R72" s="84">
        <f t="shared" ref="R72:R81" si="25">Q72*$K72*E72</f>
        <v>0</v>
      </c>
      <c r="S72" s="84">
        <f t="shared" ref="S72:S81" si="26">(P72+R72)</f>
        <v>6759.5</v>
      </c>
      <c r="T72" s="5">
        <v>4</v>
      </c>
      <c r="U72" s="5">
        <f>S72*T72/100</f>
        <v>270.38</v>
      </c>
      <c r="V72" s="5"/>
      <c r="W72" s="5"/>
      <c r="X72" s="5"/>
      <c r="Y72" s="5"/>
      <c r="Z72" s="5"/>
      <c r="AA72" s="5"/>
      <c r="AB72" s="5"/>
      <c r="AC72" s="5"/>
      <c r="AD72" s="5"/>
      <c r="AE72" s="88">
        <f t="shared" ref="AE72:AE81" si="27">U72+V72+W72+Y72+AA72+AC72+AD72</f>
        <v>270.38</v>
      </c>
      <c r="AF72" s="75">
        <f t="shared" ref="AF72:AF81" si="28">(S72+AE72)*0.3</f>
        <v>2108.9639999999999</v>
      </c>
      <c r="AG72" s="84">
        <f t="shared" ref="AG72:AG81" si="29">S72+AE72+AF72</f>
        <v>9138.844000000001</v>
      </c>
      <c r="AR72" s="91"/>
      <c r="AS72" s="92"/>
      <c r="AT72" s="91"/>
    </row>
    <row r="73" spans="2:46" s="90" customFormat="1" ht="15" customHeight="1">
      <c r="B73" s="122">
        <v>2</v>
      </c>
      <c r="C73" s="95" t="s">
        <v>467</v>
      </c>
      <c r="D73" s="5"/>
      <c r="E73" s="5">
        <v>2</v>
      </c>
      <c r="F73" s="124" t="s">
        <v>458</v>
      </c>
      <c r="G73" s="5">
        <v>3</v>
      </c>
      <c r="H73" s="78">
        <v>3125</v>
      </c>
      <c r="I73" s="78">
        <v>1.9665999999999999</v>
      </c>
      <c r="J73" s="5"/>
      <c r="K73" s="84">
        <f t="shared" si="21"/>
        <v>6145</v>
      </c>
      <c r="L73" s="5"/>
      <c r="M73" s="84">
        <f t="shared" si="22"/>
        <v>0</v>
      </c>
      <c r="N73" s="5"/>
      <c r="O73" s="111">
        <f t="shared" si="23"/>
        <v>0</v>
      </c>
      <c r="P73" s="84">
        <f t="shared" si="24"/>
        <v>12290</v>
      </c>
      <c r="Q73" s="5"/>
      <c r="R73" s="84">
        <f t="shared" si="25"/>
        <v>0</v>
      </c>
      <c r="S73" s="84">
        <f t="shared" si="26"/>
        <v>12290</v>
      </c>
      <c r="T73" s="5">
        <v>4</v>
      </c>
      <c r="U73" s="5">
        <f>S73*T73/100</f>
        <v>491.6</v>
      </c>
      <c r="V73" s="5"/>
      <c r="W73" s="5"/>
      <c r="X73" s="5"/>
      <c r="Y73" s="5"/>
      <c r="Z73" s="5"/>
      <c r="AA73" s="5"/>
      <c r="AB73" s="5"/>
      <c r="AC73" s="5"/>
      <c r="AD73" s="5"/>
      <c r="AE73" s="88">
        <f t="shared" si="27"/>
        <v>491.6</v>
      </c>
      <c r="AF73" s="75">
        <f t="shared" si="28"/>
        <v>3834.48</v>
      </c>
      <c r="AG73" s="84">
        <f t="shared" si="29"/>
        <v>16616.080000000002</v>
      </c>
      <c r="AR73" s="91"/>
      <c r="AS73" s="92"/>
      <c r="AT73" s="91"/>
    </row>
    <row r="74" spans="2:46" s="90" customFormat="1" ht="15" customHeight="1">
      <c r="B74" s="122">
        <v>3</v>
      </c>
      <c r="C74" s="123" t="s">
        <v>468</v>
      </c>
      <c r="D74" s="7"/>
      <c r="E74" s="5">
        <v>1</v>
      </c>
      <c r="F74" s="124" t="s">
        <v>458</v>
      </c>
      <c r="G74" s="5">
        <v>3</v>
      </c>
      <c r="H74" s="5">
        <v>3125</v>
      </c>
      <c r="I74" s="5">
        <v>1.9665999999999999</v>
      </c>
      <c r="J74" s="5"/>
      <c r="K74" s="84">
        <f t="shared" si="21"/>
        <v>6145</v>
      </c>
      <c r="L74" s="5">
        <v>0</v>
      </c>
      <c r="M74" s="84">
        <f t="shared" si="22"/>
        <v>0</v>
      </c>
      <c r="N74" s="5"/>
      <c r="O74" s="111">
        <f t="shared" si="23"/>
        <v>0</v>
      </c>
      <c r="P74" s="84">
        <f t="shared" si="24"/>
        <v>6145</v>
      </c>
      <c r="Q74" s="5"/>
      <c r="R74" s="84">
        <f t="shared" si="25"/>
        <v>0</v>
      </c>
      <c r="S74" s="84">
        <f t="shared" si="26"/>
        <v>6145</v>
      </c>
      <c r="T74" s="5">
        <v>4</v>
      </c>
      <c r="U74" s="5">
        <f>S74*T74/100</f>
        <v>245.8</v>
      </c>
      <c r="V74" s="5"/>
      <c r="W74" s="5"/>
      <c r="X74" s="5"/>
      <c r="Y74" s="5"/>
      <c r="Z74" s="5"/>
      <c r="AA74" s="5"/>
      <c r="AB74" s="5"/>
      <c r="AC74" s="5"/>
      <c r="AD74" s="112">
        <v>1229</v>
      </c>
      <c r="AE74" s="113">
        <f t="shared" si="27"/>
        <v>1474.8</v>
      </c>
      <c r="AF74" s="75">
        <f t="shared" si="28"/>
        <v>2285.94</v>
      </c>
      <c r="AG74" s="84">
        <f t="shared" si="29"/>
        <v>9905.74</v>
      </c>
      <c r="AR74" s="91"/>
      <c r="AS74" s="92"/>
      <c r="AT74" s="91"/>
    </row>
    <row r="75" spans="2:46" s="90" customFormat="1" ht="15" customHeight="1">
      <c r="B75" s="122">
        <v>4</v>
      </c>
      <c r="C75" s="123" t="s">
        <v>469</v>
      </c>
      <c r="D75" s="7"/>
      <c r="E75" s="5">
        <v>1</v>
      </c>
      <c r="F75" s="124" t="s">
        <v>458</v>
      </c>
      <c r="G75" s="5">
        <v>2</v>
      </c>
      <c r="H75" s="78">
        <v>3125</v>
      </c>
      <c r="I75" s="78">
        <v>1.9665999999999999</v>
      </c>
      <c r="J75" s="5"/>
      <c r="K75" s="84">
        <f t="shared" si="21"/>
        <v>6145</v>
      </c>
      <c r="L75" s="5"/>
      <c r="M75" s="84">
        <f t="shared" si="22"/>
        <v>0</v>
      </c>
      <c r="N75" s="5"/>
      <c r="O75" s="111">
        <f t="shared" si="23"/>
        <v>0</v>
      </c>
      <c r="P75" s="84">
        <f t="shared" si="24"/>
        <v>6145</v>
      </c>
      <c r="Q75" s="5"/>
      <c r="R75" s="84">
        <f t="shared" si="25"/>
        <v>0</v>
      </c>
      <c r="S75" s="84">
        <f t="shared" si="26"/>
        <v>6145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88">
        <f t="shared" si="27"/>
        <v>0</v>
      </c>
      <c r="AF75" s="75">
        <f t="shared" si="28"/>
        <v>1843.5</v>
      </c>
      <c r="AG75" s="84">
        <f t="shared" si="29"/>
        <v>7988.5</v>
      </c>
      <c r="AR75" s="91"/>
      <c r="AS75" s="92"/>
      <c r="AT75" s="91"/>
    </row>
    <row r="76" spans="2:46" s="90" customFormat="1" ht="15" customHeight="1">
      <c r="B76" s="122">
        <v>5</v>
      </c>
      <c r="C76" s="123" t="s">
        <v>470</v>
      </c>
      <c r="D76" s="7"/>
      <c r="E76" s="5">
        <v>2</v>
      </c>
      <c r="F76" s="124" t="s">
        <v>458</v>
      </c>
      <c r="G76" s="5">
        <v>2</v>
      </c>
      <c r="H76" s="5">
        <v>3125</v>
      </c>
      <c r="I76" s="5">
        <v>1.9665999999999999</v>
      </c>
      <c r="J76" s="5"/>
      <c r="K76" s="84">
        <f t="shared" si="21"/>
        <v>6145</v>
      </c>
      <c r="L76" s="5">
        <v>0</v>
      </c>
      <c r="M76" s="84">
        <f t="shared" si="22"/>
        <v>0</v>
      </c>
      <c r="N76" s="5"/>
      <c r="O76" s="111">
        <f t="shared" si="23"/>
        <v>0</v>
      </c>
      <c r="P76" s="84">
        <f t="shared" si="24"/>
        <v>12290</v>
      </c>
      <c r="Q76" s="5"/>
      <c r="R76" s="84">
        <f t="shared" si="25"/>
        <v>0</v>
      </c>
      <c r="S76" s="84">
        <f t="shared" si="26"/>
        <v>12290</v>
      </c>
      <c r="T76" s="5">
        <v>4</v>
      </c>
      <c r="U76" s="5">
        <f>S76*T76/100</f>
        <v>491.6</v>
      </c>
      <c r="V76" s="5"/>
      <c r="W76" s="5"/>
      <c r="X76" s="5"/>
      <c r="Y76" s="5"/>
      <c r="Z76" s="5"/>
      <c r="AA76" s="5"/>
      <c r="AB76" s="5"/>
      <c r="AC76" s="5"/>
      <c r="AD76" s="112">
        <v>2458</v>
      </c>
      <c r="AE76" s="113">
        <f t="shared" si="27"/>
        <v>2949.6</v>
      </c>
      <c r="AF76" s="75">
        <f t="shared" si="28"/>
        <v>4571.88</v>
      </c>
      <c r="AG76" s="84">
        <f t="shared" si="29"/>
        <v>19811.48</v>
      </c>
      <c r="AR76" s="91"/>
      <c r="AS76" s="92"/>
      <c r="AT76" s="91"/>
    </row>
    <row r="77" spans="2:46" s="90" customFormat="1" ht="15" customHeight="1">
      <c r="B77" s="122"/>
      <c r="C77" s="123"/>
      <c r="D77" s="7"/>
      <c r="E77" s="5"/>
      <c r="F77" s="124"/>
      <c r="G77" s="5"/>
      <c r="H77" s="5"/>
      <c r="I77" s="5"/>
      <c r="J77" s="125"/>
      <c r="K77" s="84">
        <f t="shared" si="21"/>
        <v>0</v>
      </c>
      <c r="L77" s="5"/>
      <c r="M77" s="84"/>
      <c r="N77" s="5"/>
      <c r="O77" s="111"/>
      <c r="P77" s="84">
        <f t="shared" si="24"/>
        <v>0</v>
      </c>
      <c r="Q77" s="5"/>
      <c r="R77" s="84">
        <f t="shared" si="25"/>
        <v>0</v>
      </c>
      <c r="S77" s="84">
        <f t="shared" si="26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112"/>
      <c r="AE77" s="113"/>
      <c r="AF77" s="75"/>
      <c r="AG77" s="84"/>
      <c r="AR77" s="91"/>
      <c r="AS77" s="92"/>
      <c r="AT77" s="91"/>
    </row>
    <row r="78" spans="2:46" s="90" customFormat="1" ht="15" customHeight="1">
      <c r="B78" s="122"/>
      <c r="C78" s="123"/>
      <c r="D78" s="7"/>
      <c r="E78" s="5"/>
      <c r="F78" s="124"/>
      <c r="G78" s="5"/>
      <c r="H78" s="5"/>
      <c r="I78" s="5"/>
      <c r="J78" s="125"/>
      <c r="K78" s="84">
        <f t="shared" si="21"/>
        <v>0</v>
      </c>
      <c r="L78" s="5"/>
      <c r="M78" s="84"/>
      <c r="N78" s="5"/>
      <c r="O78" s="111"/>
      <c r="P78" s="84">
        <f t="shared" si="24"/>
        <v>0</v>
      </c>
      <c r="Q78" s="5"/>
      <c r="R78" s="84">
        <f t="shared" si="25"/>
        <v>0</v>
      </c>
      <c r="S78" s="84">
        <f t="shared" si="26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112"/>
      <c r="AE78" s="113"/>
      <c r="AF78" s="75"/>
      <c r="AG78" s="84"/>
      <c r="AR78" s="91"/>
      <c r="AS78" s="92"/>
      <c r="AT78" s="91"/>
    </row>
    <row r="79" spans="2:46" s="90" customFormat="1" ht="15" customHeight="1">
      <c r="B79" s="122"/>
      <c r="C79" s="123"/>
      <c r="D79" s="7"/>
      <c r="E79" s="5"/>
      <c r="F79" s="124"/>
      <c r="G79" s="5"/>
      <c r="H79" s="5"/>
      <c r="I79" s="5"/>
      <c r="J79" s="125"/>
      <c r="K79" s="84">
        <f t="shared" si="21"/>
        <v>0</v>
      </c>
      <c r="L79" s="5"/>
      <c r="M79" s="84"/>
      <c r="N79" s="5"/>
      <c r="O79" s="111"/>
      <c r="P79" s="84">
        <f t="shared" si="24"/>
        <v>0</v>
      </c>
      <c r="Q79" s="5"/>
      <c r="R79" s="84">
        <f t="shared" si="25"/>
        <v>0</v>
      </c>
      <c r="S79" s="84">
        <f t="shared" si="26"/>
        <v>0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112"/>
      <c r="AE79" s="113"/>
      <c r="AF79" s="75"/>
      <c r="AG79" s="84"/>
      <c r="AR79" s="91"/>
      <c r="AS79" s="92"/>
      <c r="AT79" s="91"/>
    </row>
    <row r="80" spans="2:46" s="90" customFormat="1" ht="15" customHeight="1">
      <c r="B80" s="122"/>
      <c r="C80" s="123"/>
      <c r="D80" s="7"/>
      <c r="E80" s="5"/>
      <c r="F80" s="124"/>
      <c r="G80" s="5"/>
      <c r="H80" s="5"/>
      <c r="I80" s="5"/>
      <c r="J80" s="125"/>
      <c r="K80" s="84">
        <f t="shared" si="21"/>
        <v>0</v>
      </c>
      <c r="L80" s="5"/>
      <c r="M80" s="84"/>
      <c r="N80" s="5"/>
      <c r="O80" s="111"/>
      <c r="P80" s="84">
        <f t="shared" si="24"/>
        <v>0</v>
      </c>
      <c r="Q80" s="5"/>
      <c r="R80" s="84">
        <f t="shared" si="25"/>
        <v>0</v>
      </c>
      <c r="S80" s="84">
        <f t="shared" si="26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112"/>
      <c r="AE80" s="113"/>
      <c r="AF80" s="75"/>
      <c r="AG80" s="84"/>
      <c r="AR80" s="91"/>
      <c r="AS80" s="92"/>
      <c r="AT80" s="91"/>
    </row>
    <row r="81" spans="2:46" s="90" customFormat="1" ht="15" customHeight="1" thickBot="1">
      <c r="B81" s="122">
        <v>6</v>
      </c>
      <c r="C81" s="126" t="s">
        <v>471</v>
      </c>
      <c r="D81" s="127"/>
      <c r="E81" s="78">
        <v>1</v>
      </c>
      <c r="F81" s="124" t="s">
        <v>458</v>
      </c>
      <c r="G81" s="78">
        <v>2</v>
      </c>
      <c r="H81" s="78">
        <v>3125</v>
      </c>
      <c r="I81" s="78">
        <v>1.9665999999999999</v>
      </c>
      <c r="J81"/>
      <c r="K81" s="84">
        <f t="shared" si="21"/>
        <v>6145</v>
      </c>
      <c r="L81" s="5"/>
      <c r="M81" s="84">
        <f t="shared" si="22"/>
        <v>0</v>
      </c>
      <c r="N81" s="5"/>
      <c r="O81" s="111">
        <f t="shared" si="23"/>
        <v>0</v>
      </c>
      <c r="P81" s="84">
        <f t="shared" si="24"/>
        <v>6145</v>
      </c>
      <c r="Q81" s="5"/>
      <c r="R81" s="84">
        <f t="shared" si="25"/>
        <v>0</v>
      </c>
      <c r="S81" s="84">
        <f t="shared" si="26"/>
        <v>6145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3">
        <f t="shared" si="27"/>
        <v>0</v>
      </c>
      <c r="AF81" s="75">
        <f t="shared" si="28"/>
        <v>1843.5</v>
      </c>
      <c r="AG81" s="84">
        <f t="shared" si="29"/>
        <v>7988.5</v>
      </c>
      <c r="AR81" s="91"/>
      <c r="AS81" s="92"/>
      <c r="AT81" s="91"/>
    </row>
    <row r="82" spans="2:46" ht="15" thickBot="1">
      <c r="B82" s="128"/>
      <c r="C82" s="99" t="s">
        <v>264</v>
      </c>
      <c r="D82" s="129"/>
      <c r="E82" s="130">
        <f>SUM(E72:E81)</f>
        <v>8</v>
      </c>
      <c r="F82" s="131"/>
      <c r="G82" s="132"/>
      <c r="H82" s="132"/>
      <c r="I82" s="132"/>
      <c r="J82" s="132"/>
      <c r="K82" s="130">
        <f>SUM(K72:K81)</f>
        <v>36870</v>
      </c>
      <c r="L82" s="100"/>
      <c r="M82" s="130">
        <f>SUM(M72:M81)</f>
        <v>0</v>
      </c>
      <c r="N82" s="100"/>
      <c r="O82" s="130">
        <f>SUM(O72:O81)</f>
        <v>614.5</v>
      </c>
      <c r="P82" s="130">
        <f>SUM(P72:P81)</f>
        <v>49774.5</v>
      </c>
      <c r="Q82" s="100"/>
      <c r="R82" s="130">
        <f>SUM(R72:R81)</f>
        <v>0</v>
      </c>
      <c r="S82" s="130">
        <f>SUM(S72:S81)</f>
        <v>49774.5</v>
      </c>
      <c r="T82" s="100"/>
      <c r="U82" s="130">
        <f>SUM(U72:U81)</f>
        <v>1499.38</v>
      </c>
      <c r="V82" s="130">
        <f>SUM(V72:V81)</f>
        <v>0</v>
      </c>
      <c r="W82" s="130">
        <f>SUM(W72:W81)</f>
        <v>0</v>
      </c>
      <c r="X82" s="100"/>
      <c r="Y82" s="130">
        <f>SUM(Y72:Y81)</f>
        <v>0</v>
      </c>
      <c r="Z82" s="100"/>
      <c r="AA82" s="130">
        <f>SUM(AA72:AA81)</f>
        <v>0</v>
      </c>
      <c r="AB82" s="100"/>
      <c r="AC82" s="130">
        <f>SUM(AC72:AC81)</f>
        <v>0</v>
      </c>
      <c r="AD82" s="130">
        <f>SUM(AD72:AD81)</f>
        <v>3687</v>
      </c>
      <c r="AE82" s="130">
        <f>SUM(AE72:AE81)</f>
        <v>5186.3799999999992</v>
      </c>
      <c r="AF82" s="130">
        <f>SUM(AF72:AF81)</f>
        <v>16488.263999999999</v>
      </c>
      <c r="AG82" s="130">
        <f>SUM(AG72:AG81)</f>
        <v>71449.144</v>
      </c>
    </row>
    <row r="83" spans="2:46" ht="27">
      <c r="B83" s="104"/>
      <c r="C83" s="105" t="s">
        <v>382</v>
      </c>
      <c r="D83" s="105"/>
      <c r="E83" s="104"/>
      <c r="F83" s="104"/>
      <c r="G83" s="104"/>
      <c r="H83" s="104"/>
      <c r="I83" s="104"/>
      <c r="J83" s="104"/>
      <c r="K83" s="75"/>
      <c r="L83" s="104"/>
      <c r="M83" s="106"/>
      <c r="N83" s="104"/>
      <c r="O83" s="104"/>
      <c r="P83" s="106"/>
      <c r="Q83" s="104"/>
      <c r="R83" s="73"/>
      <c r="S83" s="75"/>
      <c r="T83" s="73"/>
      <c r="U83" s="76"/>
      <c r="V83" s="77"/>
      <c r="W83" s="77"/>
      <c r="X83" s="77"/>
      <c r="Y83" s="77"/>
      <c r="Z83" s="77"/>
      <c r="AA83" s="77"/>
      <c r="AB83" s="77"/>
      <c r="AC83" s="73"/>
      <c r="AD83" s="73"/>
      <c r="AE83" s="73"/>
      <c r="AF83" s="75"/>
      <c r="AG83" s="75"/>
    </row>
    <row r="84" spans="2:46" s="90" customFormat="1" ht="57.75" customHeight="1">
      <c r="B84" s="107">
        <v>1</v>
      </c>
      <c r="C84" s="95" t="s">
        <v>472</v>
      </c>
      <c r="D84" s="5"/>
      <c r="E84" s="5">
        <v>5</v>
      </c>
      <c r="F84" s="133" t="s">
        <v>473</v>
      </c>
      <c r="G84" s="5">
        <v>3</v>
      </c>
      <c r="H84" s="5">
        <v>2907</v>
      </c>
      <c r="I84" s="5">
        <v>1.6546000000000001</v>
      </c>
      <c r="J84" s="5"/>
      <c r="K84" s="84">
        <v>4810</v>
      </c>
      <c r="L84" s="5"/>
      <c r="M84" s="84">
        <f t="shared" ref="M84:M93" si="30">L84*K84</f>
        <v>0</v>
      </c>
      <c r="N84" s="5"/>
      <c r="O84" s="111">
        <f t="shared" ref="O84:O93" si="31">N84*K84</f>
        <v>0</v>
      </c>
      <c r="P84" s="84">
        <f t="shared" ref="P84:P114" si="32">(K84+M84+O84)*E84</f>
        <v>24050</v>
      </c>
      <c r="Q84" s="5"/>
      <c r="R84" s="84">
        <f t="shared" ref="R84:R114" si="33">Q84*$K84*E84</f>
        <v>0</v>
      </c>
      <c r="S84" s="84">
        <f t="shared" ref="S84:S114" si="34">(P84+R84)</f>
        <v>24050</v>
      </c>
      <c r="T84" s="5">
        <v>4</v>
      </c>
      <c r="U84" s="112">
        <f>S84*T84/100</f>
        <v>962</v>
      </c>
      <c r="V84" s="5"/>
      <c r="W84" s="5"/>
      <c r="X84" s="5"/>
      <c r="Y84" s="5"/>
      <c r="Z84" s="5"/>
      <c r="AA84" s="5"/>
      <c r="AB84" s="5"/>
      <c r="AC84" s="5"/>
      <c r="AD84" s="5"/>
      <c r="AE84" s="88">
        <f t="shared" ref="AE84:AE94" si="35">U84+V84+W84+Y84+AA84+AC84+AD84</f>
        <v>962</v>
      </c>
      <c r="AF84" s="75">
        <f t="shared" ref="AF84:AF93" si="36">(S84+AE84)*0.3</f>
        <v>7503.5999999999995</v>
      </c>
      <c r="AG84" s="84">
        <f t="shared" ref="AG84:AG94" si="37">S84+AE84+AF84</f>
        <v>32515.599999999999</v>
      </c>
      <c r="AR84" s="91"/>
      <c r="AS84" s="92"/>
      <c r="AT84" s="91"/>
    </row>
    <row r="85" spans="2:46" s="90" customFormat="1" ht="15" customHeight="1">
      <c r="B85" s="107">
        <v>2</v>
      </c>
      <c r="C85" s="95" t="s">
        <v>474</v>
      </c>
      <c r="D85" s="5"/>
      <c r="E85" s="5">
        <v>1</v>
      </c>
      <c r="F85" s="124" t="s">
        <v>458</v>
      </c>
      <c r="G85" s="5">
        <v>3</v>
      </c>
      <c r="H85" s="5">
        <v>2907</v>
      </c>
      <c r="I85" s="5">
        <v>1.6546000000000001</v>
      </c>
      <c r="J85" s="5"/>
      <c r="K85" s="84">
        <v>4810</v>
      </c>
      <c r="L85" s="5"/>
      <c r="M85" s="84">
        <f t="shared" si="30"/>
        <v>0</v>
      </c>
      <c r="N85" s="5"/>
      <c r="O85" s="111">
        <f t="shared" si="31"/>
        <v>0</v>
      </c>
      <c r="P85" s="84">
        <f t="shared" si="32"/>
        <v>4810</v>
      </c>
      <c r="Q85" s="5"/>
      <c r="R85" s="84">
        <f t="shared" si="33"/>
        <v>0</v>
      </c>
      <c r="S85" s="84">
        <f t="shared" si="34"/>
        <v>4810</v>
      </c>
      <c r="T85" s="5">
        <v>4</v>
      </c>
      <c r="U85" s="112">
        <f t="shared" ref="U85:U97" si="38">S85*T85/100</f>
        <v>192.4</v>
      </c>
      <c r="V85" s="5"/>
      <c r="W85" s="5"/>
      <c r="X85" s="5"/>
      <c r="Y85" s="5"/>
      <c r="Z85" s="5"/>
      <c r="AA85" s="5"/>
      <c r="AB85" s="5"/>
      <c r="AC85" s="5"/>
      <c r="AD85" s="5"/>
      <c r="AE85" s="88">
        <f t="shared" si="35"/>
        <v>192.4</v>
      </c>
      <c r="AF85" s="75">
        <f t="shared" si="36"/>
        <v>1500.7199999999998</v>
      </c>
      <c r="AG85" s="84">
        <f t="shared" si="37"/>
        <v>6503.119999999999</v>
      </c>
      <c r="AR85" s="91"/>
      <c r="AS85" s="92"/>
      <c r="AT85" s="91"/>
    </row>
    <row r="86" spans="2:46" s="90" customFormat="1" ht="15" customHeight="1">
      <c r="B86" s="107">
        <v>3</v>
      </c>
      <c r="C86" s="95" t="s">
        <v>475</v>
      </c>
      <c r="D86" s="5"/>
      <c r="E86" s="5">
        <v>1</v>
      </c>
      <c r="F86" s="124" t="s">
        <v>458</v>
      </c>
      <c r="G86" s="5">
        <v>2</v>
      </c>
      <c r="H86" s="5">
        <v>2907</v>
      </c>
      <c r="I86" s="5">
        <v>1.5004</v>
      </c>
      <c r="J86" s="5"/>
      <c r="K86" s="84">
        <v>4362</v>
      </c>
      <c r="L86" s="5"/>
      <c r="M86" s="84">
        <f t="shared" si="30"/>
        <v>0</v>
      </c>
      <c r="N86" s="5"/>
      <c r="O86" s="111">
        <f t="shared" si="31"/>
        <v>0</v>
      </c>
      <c r="P86" s="84">
        <f t="shared" si="32"/>
        <v>4362</v>
      </c>
      <c r="Q86" s="5"/>
      <c r="R86" s="84">
        <f t="shared" si="33"/>
        <v>0</v>
      </c>
      <c r="S86" s="84">
        <f t="shared" si="34"/>
        <v>4362</v>
      </c>
      <c r="T86" s="5">
        <v>4</v>
      </c>
      <c r="U86" s="112">
        <f t="shared" si="38"/>
        <v>174.48</v>
      </c>
      <c r="V86" s="5"/>
      <c r="W86" s="5"/>
      <c r="X86" s="5"/>
      <c r="Y86" s="5"/>
      <c r="Z86" s="5"/>
      <c r="AA86" s="5"/>
      <c r="AB86" s="5"/>
      <c r="AC86" s="5"/>
      <c r="AD86" s="5"/>
      <c r="AE86" s="88">
        <f t="shared" si="35"/>
        <v>174.48</v>
      </c>
      <c r="AF86" s="75">
        <f t="shared" si="36"/>
        <v>1360.9439999999997</v>
      </c>
      <c r="AG86" s="84">
        <f t="shared" si="37"/>
        <v>5897.4239999999991</v>
      </c>
      <c r="AR86" s="91"/>
      <c r="AS86" s="92"/>
      <c r="AT86" s="91"/>
    </row>
    <row r="87" spans="2:46" s="90" customFormat="1" ht="15" customHeight="1">
      <c r="B87" s="107">
        <v>4</v>
      </c>
      <c r="C87" s="95" t="s">
        <v>476</v>
      </c>
      <c r="D87" s="5"/>
      <c r="E87" s="5">
        <v>1</v>
      </c>
      <c r="F87" s="124" t="s">
        <v>458</v>
      </c>
      <c r="G87" s="5">
        <v>1</v>
      </c>
      <c r="H87" s="5">
        <v>2382</v>
      </c>
      <c r="I87" s="5">
        <v>1.1736</v>
      </c>
      <c r="J87" s="5"/>
      <c r="K87" s="84">
        <v>2796</v>
      </c>
      <c r="L87" s="5"/>
      <c r="M87" s="84">
        <f t="shared" si="30"/>
        <v>0</v>
      </c>
      <c r="N87" s="5"/>
      <c r="O87" s="111">
        <f t="shared" si="31"/>
        <v>0</v>
      </c>
      <c r="P87" s="84">
        <f t="shared" si="32"/>
        <v>2796</v>
      </c>
      <c r="Q87" s="5"/>
      <c r="R87" s="84">
        <f t="shared" si="33"/>
        <v>0</v>
      </c>
      <c r="S87" s="84">
        <f t="shared" si="34"/>
        <v>2796</v>
      </c>
      <c r="T87" s="5"/>
      <c r="U87" s="112"/>
      <c r="V87" s="5"/>
      <c r="W87" s="5"/>
      <c r="X87" s="5"/>
      <c r="Y87" s="5"/>
      <c r="Z87" s="5"/>
      <c r="AA87" s="5"/>
      <c r="AB87" s="5"/>
      <c r="AC87" s="5"/>
      <c r="AD87" s="5"/>
      <c r="AE87" s="88">
        <f t="shared" si="35"/>
        <v>0</v>
      </c>
      <c r="AF87" s="75">
        <f t="shared" si="36"/>
        <v>838.8</v>
      </c>
      <c r="AG87" s="84">
        <f t="shared" si="37"/>
        <v>3634.8</v>
      </c>
      <c r="AR87" s="91"/>
      <c r="AS87" s="92"/>
      <c r="AT87" s="91"/>
    </row>
    <row r="88" spans="2:46" s="90" customFormat="1" ht="15" customHeight="1">
      <c r="B88" s="107">
        <v>5</v>
      </c>
      <c r="C88" s="95" t="s">
        <v>477</v>
      </c>
      <c r="D88" s="5"/>
      <c r="E88" s="5">
        <v>1</v>
      </c>
      <c r="F88" s="124" t="s">
        <v>458</v>
      </c>
      <c r="G88" s="5">
        <v>1</v>
      </c>
      <c r="H88" s="5">
        <v>2382</v>
      </c>
      <c r="I88" s="5">
        <v>1.1736</v>
      </c>
      <c r="J88" s="5"/>
      <c r="K88" s="84">
        <v>2796</v>
      </c>
      <c r="L88" s="5"/>
      <c r="M88" s="84">
        <f t="shared" si="30"/>
        <v>0</v>
      </c>
      <c r="N88" s="5"/>
      <c r="O88" s="111">
        <f t="shared" si="31"/>
        <v>0</v>
      </c>
      <c r="P88" s="84">
        <f t="shared" si="32"/>
        <v>2796</v>
      </c>
      <c r="Q88" s="5"/>
      <c r="R88" s="84">
        <f t="shared" si="33"/>
        <v>0</v>
      </c>
      <c r="S88" s="84">
        <f t="shared" si="34"/>
        <v>2796</v>
      </c>
      <c r="T88" s="5">
        <v>4</v>
      </c>
      <c r="U88" s="112">
        <f>S88*T88/100</f>
        <v>111.84</v>
      </c>
      <c r="V88" s="5"/>
      <c r="W88" s="5"/>
      <c r="X88" s="5"/>
      <c r="Y88" s="5"/>
      <c r="Z88" s="5"/>
      <c r="AA88" s="5"/>
      <c r="AB88" s="5"/>
      <c r="AC88" s="5"/>
      <c r="AD88" s="5">
        <v>279.60000000000002</v>
      </c>
      <c r="AE88" s="88">
        <f t="shared" si="35"/>
        <v>391.44000000000005</v>
      </c>
      <c r="AF88" s="75">
        <f t="shared" si="36"/>
        <v>956.23199999999997</v>
      </c>
      <c r="AG88" s="84">
        <f t="shared" si="37"/>
        <v>4143.6720000000005</v>
      </c>
      <c r="AR88" s="91"/>
      <c r="AS88" s="92"/>
      <c r="AT88" s="91"/>
    </row>
    <row r="89" spans="2:46" s="90" customFormat="1" ht="15" customHeight="1">
      <c r="B89" s="107">
        <v>6</v>
      </c>
      <c r="C89" s="95" t="s">
        <v>478</v>
      </c>
      <c r="D89" s="5"/>
      <c r="E89" s="5">
        <v>1</v>
      </c>
      <c r="F89" s="124" t="s">
        <v>458</v>
      </c>
      <c r="G89" s="5">
        <v>1</v>
      </c>
      <c r="H89" s="5">
        <v>2460</v>
      </c>
      <c r="I89" s="5">
        <v>1.1364000000000001</v>
      </c>
      <c r="J89" s="5"/>
      <c r="K89" s="84">
        <v>2796</v>
      </c>
      <c r="L89" s="5"/>
      <c r="M89" s="84">
        <f t="shared" si="30"/>
        <v>0</v>
      </c>
      <c r="N89" s="5"/>
      <c r="O89" s="111">
        <f t="shared" si="31"/>
        <v>0</v>
      </c>
      <c r="P89" s="84">
        <f t="shared" si="32"/>
        <v>2796</v>
      </c>
      <c r="Q89" s="5"/>
      <c r="R89" s="84">
        <f t="shared" si="33"/>
        <v>0</v>
      </c>
      <c r="S89" s="84">
        <f t="shared" si="34"/>
        <v>2796</v>
      </c>
      <c r="T89" s="5">
        <v>12</v>
      </c>
      <c r="U89" s="112">
        <f>S89*T89/100</f>
        <v>335.52</v>
      </c>
      <c r="V89" s="5"/>
      <c r="W89" s="5"/>
      <c r="X89" s="5"/>
      <c r="Y89" s="5"/>
      <c r="Z89" s="5"/>
      <c r="AA89" s="5"/>
      <c r="AB89" s="5"/>
      <c r="AC89" s="5"/>
      <c r="AD89" s="5"/>
      <c r="AE89" s="113">
        <f t="shared" si="35"/>
        <v>335.52</v>
      </c>
      <c r="AF89" s="75">
        <f t="shared" si="36"/>
        <v>939.4559999999999</v>
      </c>
      <c r="AG89" s="84">
        <f t="shared" si="37"/>
        <v>4070.9759999999997</v>
      </c>
      <c r="AR89" s="91"/>
      <c r="AS89" s="92"/>
      <c r="AT89" s="91"/>
    </row>
    <row r="90" spans="2:46" s="90" customFormat="1" ht="15" customHeight="1">
      <c r="B90" s="107">
        <v>7</v>
      </c>
      <c r="C90" s="95" t="s">
        <v>479</v>
      </c>
      <c r="D90" s="5"/>
      <c r="E90" s="5">
        <v>2.5</v>
      </c>
      <c r="F90" s="124" t="s">
        <v>458</v>
      </c>
      <c r="G90" s="5">
        <v>4</v>
      </c>
      <c r="H90" s="5">
        <v>2460</v>
      </c>
      <c r="I90" s="5">
        <v>1.7732000000000001</v>
      </c>
      <c r="J90" s="5"/>
      <c r="K90" s="84">
        <f t="shared" ref="K90:K113" si="39">INT(IF(AND(H90="",I90="",J90=""),0,IF(H90="",1,H90)*IF(I90="",1,I90)*IF(J90="",1,J90)))</f>
        <v>4362</v>
      </c>
      <c r="L90" s="5"/>
      <c r="M90" s="84">
        <f t="shared" si="30"/>
        <v>0</v>
      </c>
      <c r="N90" s="5"/>
      <c r="O90" s="111">
        <f t="shared" si="31"/>
        <v>0</v>
      </c>
      <c r="P90" s="84">
        <f t="shared" si="32"/>
        <v>10905</v>
      </c>
      <c r="Q90" s="5"/>
      <c r="R90" s="84">
        <f t="shared" si="33"/>
        <v>0</v>
      </c>
      <c r="S90" s="84">
        <f t="shared" si="34"/>
        <v>10905</v>
      </c>
      <c r="T90" s="5">
        <v>12</v>
      </c>
      <c r="U90" s="112">
        <f>S90*T90/100</f>
        <v>1308.5999999999999</v>
      </c>
      <c r="V90" s="5"/>
      <c r="W90" s="5"/>
      <c r="X90" s="5"/>
      <c r="Y90" s="5"/>
      <c r="Z90" s="5"/>
      <c r="AA90" s="5"/>
      <c r="AB90" s="5"/>
      <c r="AC90" s="5"/>
      <c r="AD90" s="5"/>
      <c r="AE90" s="88">
        <f t="shared" si="35"/>
        <v>1308.5999999999999</v>
      </c>
      <c r="AF90" s="75">
        <f t="shared" si="36"/>
        <v>3664.08</v>
      </c>
      <c r="AG90" s="84">
        <f t="shared" si="37"/>
        <v>15877.68</v>
      </c>
      <c r="AR90" s="91"/>
      <c r="AS90" s="92"/>
      <c r="AT90" s="91"/>
    </row>
    <row r="91" spans="2:46" s="90" customFormat="1" ht="15" customHeight="1">
      <c r="B91" s="107">
        <v>8</v>
      </c>
      <c r="C91" s="95" t="s">
        <v>480</v>
      </c>
      <c r="D91" s="5"/>
      <c r="E91" s="5">
        <v>2</v>
      </c>
      <c r="F91" s="124" t="s">
        <v>458</v>
      </c>
      <c r="G91" s="5">
        <v>2</v>
      </c>
      <c r="H91" s="5">
        <v>2460</v>
      </c>
      <c r="I91" s="134">
        <v>1.5</v>
      </c>
      <c r="J91" s="5"/>
      <c r="K91" s="84">
        <f t="shared" si="39"/>
        <v>3690</v>
      </c>
      <c r="L91" s="5"/>
      <c r="M91" s="84">
        <f t="shared" si="30"/>
        <v>0</v>
      </c>
      <c r="N91" s="5"/>
      <c r="O91" s="111">
        <f t="shared" si="31"/>
        <v>0</v>
      </c>
      <c r="P91" s="84">
        <f t="shared" si="32"/>
        <v>7380</v>
      </c>
      <c r="Q91" s="5"/>
      <c r="R91" s="84">
        <f t="shared" si="33"/>
        <v>0</v>
      </c>
      <c r="S91" s="84">
        <f t="shared" si="34"/>
        <v>7380</v>
      </c>
      <c r="T91" s="5">
        <v>4</v>
      </c>
      <c r="U91" s="112">
        <f t="shared" si="38"/>
        <v>295.2</v>
      </c>
      <c r="V91" s="5"/>
      <c r="W91" s="5"/>
      <c r="X91" s="5"/>
      <c r="Y91" s="5"/>
      <c r="Z91" s="5"/>
      <c r="AA91" s="5"/>
      <c r="AB91" s="5"/>
      <c r="AC91" s="5"/>
      <c r="AD91" s="5"/>
      <c r="AE91" s="88">
        <f t="shared" si="35"/>
        <v>295.2</v>
      </c>
      <c r="AF91" s="75">
        <f t="shared" si="36"/>
        <v>2302.56</v>
      </c>
      <c r="AG91" s="84">
        <f t="shared" si="37"/>
        <v>9977.76</v>
      </c>
      <c r="AR91" s="91"/>
      <c r="AS91" s="92"/>
      <c r="AT91" s="91"/>
    </row>
    <row r="92" spans="2:46" s="90" customFormat="1" ht="15" customHeight="1">
      <c r="B92" s="107">
        <v>9</v>
      </c>
      <c r="C92" s="95" t="s">
        <v>481</v>
      </c>
      <c r="D92" s="5"/>
      <c r="E92" s="5">
        <v>2</v>
      </c>
      <c r="F92" s="124" t="s">
        <v>458</v>
      </c>
      <c r="G92" s="5">
        <v>1</v>
      </c>
      <c r="H92" s="5">
        <v>2348</v>
      </c>
      <c r="I92" s="5">
        <v>1.4286000000000001</v>
      </c>
      <c r="J92" s="5"/>
      <c r="K92" s="84">
        <f t="shared" si="39"/>
        <v>3354</v>
      </c>
      <c r="L92" s="5"/>
      <c r="M92" s="84">
        <f t="shared" si="30"/>
        <v>0</v>
      </c>
      <c r="N92" s="5"/>
      <c r="O92" s="111">
        <f t="shared" si="31"/>
        <v>0</v>
      </c>
      <c r="P92" s="84">
        <f t="shared" si="32"/>
        <v>6708</v>
      </c>
      <c r="Q92" s="5"/>
      <c r="R92" s="84">
        <f t="shared" si="33"/>
        <v>0</v>
      </c>
      <c r="S92" s="84">
        <f t="shared" si="34"/>
        <v>6708</v>
      </c>
      <c r="T92" s="5">
        <v>4</v>
      </c>
      <c r="U92" s="112">
        <f t="shared" si="38"/>
        <v>268.32</v>
      </c>
      <c r="V92" s="5"/>
      <c r="W92" s="5"/>
      <c r="X92" s="5"/>
      <c r="Y92" s="5"/>
      <c r="Z92" s="5"/>
      <c r="AA92" s="5"/>
      <c r="AB92" s="5"/>
      <c r="AC92" s="5"/>
      <c r="AD92" s="5"/>
      <c r="AE92" s="88">
        <f t="shared" si="35"/>
        <v>268.32</v>
      </c>
      <c r="AF92" s="75">
        <f t="shared" si="36"/>
        <v>2092.8959999999997</v>
      </c>
      <c r="AG92" s="84">
        <f t="shared" si="37"/>
        <v>9069.2160000000003</v>
      </c>
      <c r="AR92" s="91"/>
      <c r="AS92" s="92"/>
      <c r="AT92" s="91"/>
    </row>
    <row r="93" spans="2:46" s="90" customFormat="1" ht="15" customHeight="1">
      <c r="B93" s="107">
        <v>10</v>
      </c>
      <c r="C93" s="95" t="s">
        <v>482</v>
      </c>
      <c r="D93" s="5"/>
      <c r="E93" s="5">
        <v>2</v>
      </c>
      <c r="F93" s="124" t="s">
        <v>458</v>
      </c>
      <c r="G93" s="5">
        <v>2</v>
      </c>
      <c r="H93" s="5">
        <v>2460</v>
      </c>
      <c r="I93" s="5">
        <v>1.5</v>
      </c>
      <c r="J93" s="5"/>
      <c r="K93" s="84">
        <f t="shared" si="39"/>
        <v>3690</v>
      </c>
      <c r="L93" s="5"/>
      <c r="M93" s="84">
        <f t="shared" si="30"/>
        <v>0</v>
      </c>
      <c r="N93" s="5"/>
      <c r="O93" s="111">
        <f t="shared" si="31"/>
        <v>0</v>
      </c>
      <c r="P93" s="84">
        <f t="shared" si="32"/>
        <v>7380</v>
      </c>
      <c r="Q93" s="5"/>
      <c r="R93" s="84">
        <f t="shared" si="33"/>
        <v>0</v>
      </c>
      <c r="S93" s="84">
        <f t="shared" si="34"/>
        <v>7380</v>
      </c>
      <c r="T93" s="5">
        <v>4</v>
      </c>
      <c r="U93" s="112">
        <f t="shared" si="38"/>
        <v>295.2</v>
      </c>
      <c r="V93" s="5"/>
      <c r="W93" s="5"/>
      <c r="X93" s="5"/>
      <c r="Y93" s="5"/>
      <c r="Z93" s="5"/>
      <c r="AA93" s="5"/>
      <c r="AB93" s="5"/>
      <c r="AC93" s="5"/>
      <c r="AD93" s="5"/>
      <c r="AE93" s="88">
        <f t="shared" si="35"/>
        <v>295.2</v>
      </c>
      <c r="AF93" s="75">
        <f t="shared" si="36"/>
        <v>2302.56</v>
      </c>
      <c r="AG93" s="84">
        <f t="shared" si="37"/>
        <v>9977.76</v>
      </c>
      <c r="AR93" s="91"/>
      <c r="AS93" s="92"/>
      <c r="AT93" s="91"/>
    </row>
    <row r="94" spans="2:46" s="90" customFormat="1" ht="15" customHeight="1">
      <c r="B94" s="107">
        <v>11</v>
      </c>
      <c r="C94" s="95" t="s">
        <v>483</v>
      </c>
      <c r="D94" s="5"/>
      <c r="E94" s="135">
        <v>2.5</v>
      </c>
      <c r="F94" s="136" t="s">
        <v>458</v>
      </c>
      <c r="G94" s="135">
        <v>3</v>
      </c>
      <c r="H94" s="135">
        <v>2907</v>
      </c>
      <c r="I94" s="135">
        <v>1.6546000000000001</v>
      </c>
      <c r="J94" s="135"/>
      <c r="K94" s="84">
        <v>4810</v>
      </c>
      <c r="L94" s="135"/>
      <c r="M94" s="137">
        <f>L94*K94</f>
        <v>0</v>
      </c>
      <c r="N94" s="5"/>
      <c r="O94" s="138">
        <f>N94*K94</f>
        <v>0</v>
      </c>
      <c r="P94" s="84">
        <f t="shared" si="32"/>
        <v>12025</v>
      </c>
      <c r="Q94" s="5"/>
      <c r="R94" s="84">
        <f t="shared" si="33"/>
        <v>0</v>
      </c>
      <c r="S94" s="84">
        <f t="shared" si="34"/>
        <v>12025</v>
      </c>
      <c r="T94" s="135">
        <v>12</v>
      </c>
      <c r="U94" s="112">
        <f t="shared" si="38"/>
        <v>1443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9">
        <f t="shared" si="35"/>
        <v>1443</v>
      </c>
      <c r="AF94" s="140">
        <f>(S94+AE94)*0.3</f>
        <v>4040.3999999999996</v>
      </c>
      <c r="AG94" s="137">
        <f t="shared" si="37"/>
        <v>17508.400000000001</v>
      </c>
      <c r="AR94" s="91"/>
      <c r="AS94" s="92"/>
      <c r="AT94" s="91"/>
    </row>
    <row r="95" spans="2:46" s="90" customFormat="1" ht="15" customHeight="1">
      <c r="B95" s="107">
        <v>12</v>
      </c>
      <c r="C95" s="95" t="s">
        <v>484</v>
      </c>
      <c r="D95"/>
      <c r="E95" s="5">
        <v>0.5</v>
      </c>
      <c r="F95" s="136" t="s">
        <v>458</v>
      </c>
      <c r="G95" s="5">
        <v>2</v>
      </c>
      <c r="H95" s="5">
        <v>2460</v>
      </c>
      <c r="I95" s="5">
        <v>1.5</v>
      </c>
      <c r="J95" s="5"/>
      <c r="K95" s="84">
        <f t="shared" si="39"/>
        <v>3690</v>
      </c>
      <c r="L95" s="5"/>
      <c r="M95" s="84">
        <f>L95*K95</f>
        <v>0</v>
      </c>
      <c r="N95" s="5"/>
      <c r="O95" s="111">
        <f>N95*K95</f>
        <v>0</v>
      </c>
      <c r="P95" s="84">
        <f t="shared" si="32"/>
        <v>1845</v>
      </c>
      <c r="Q95" s="5"/>
      <c r="R95" s="84">
        <f t="shared" si="33"/>
        <v>0</v>
      </c>
      <c r="S95" s="84">
        <f t="shared" si="34"/>
        <v>1845</v>
      </c>
      <c r="T95" s="5">
        <v>4</v>
      </c>
      <c r="U95" s="112">
        <f t="shared" si="38"/>
        <v>73.8</v>
      </c>
      <c r="V95" s="5"/>
      <c r="W95" s="5"/>
      <c r="X95" s="5"/>
      <c r="Y95" s="5"/>
      <c r="Z95" s="5"/>
      <c r="AA95" s="5"/>
      <c r="AB95" s="5"/>
      <c r="AC95" s="5"/>
      <c r="AD95" s="5"/>
      <c r="AE95" s="113">
        <f>U95+V95+W95+Y95+AA95+AC95+AD95</f>
        <v>73.8</v>
      </c>
      <c r="AF95" s="75">
        <f>(S95+AE95)*0.3</f>
        <v>575.64</v>
      </c>
      <c r="AG95" s="84">
        <f>S95+AE95+AF95</f>
        <v>2494.44</v>
      </c>
      <c r="AR95" s="91"/>
      <c r="AS95" s="92"/>
      <c r="AT95" s="91"/>
    </row>
    <row r="96" spans="2:46" s="90" customFormat="1" ht="15" customHeight="1">
      <c r="B96" s="107">
        <v>13</v>
      </c>
      <c r="C96" s="95" t="s">
        <v>485</v>
      </c>
      <c r="D96"/>
      <c r="E96" s="5">
        <v>1</v>
      </c>
      <c r="F96" s="136" t="s">
        <v>458</v>
      </c>
      <c r="G96" s="5">
        <v>4</v>
      </c>
      <c r="H96" s="5">
        <v>2460</v>
      </c>
      <c r="I96" s="5">
        <v>1.1364000000000001</v>
      </c>
      <c r="J96" s="5"/>
      <c r="K96" s="84">
        <v>2796</v>
      </c>
      <c r="L96" s="5"/>
      <c r="M96" s="84">
        <f>L96*K96</f>
        <v>0</v>
      </c>
      <c r="N96" s="5"/>
      <c r="O96" s="111">
        <f>N96*K96</f>
        <v>0</v>
      </c>
      <c r="P96" s="84">
        <f t="shared" si="32"/>
        <v>2796</v>
      </c>
      <c r="Q96" s="5"/>
      <c r="R96" s="84">
        <f t="shared" si="33"/>
        <v>0</v>
      </c>
      <c r="S96" s="84">
        <f t="shared" si="34"/>
        <v>2796</v>
      </c>
      <c r="T96" s="5"/>
      <c r="U96" s="112"/>
      <c r="V96" s="5"/>
      <c r="W96" s="5"/>
      <c r="X96" s="5"/>
      <c r="Y96" s="5"/>
      <c r="Z96" s="5"/>
      <c r="AA96" s="5"/>
      <c r="AB96" s="5"/>
      <c r="AC96" s="5"/>
      <c r="AD96" s="5"/>
      <c r="AE96" s="113">
        <f>U96+V96+W96+Y96+AA96+AC96+AD96</f>
        <v>0</v>
      </c>
      <c r="AF96" s="75">
        <f>(S96+AE96)*0.3</f>
        <v>838.8</v>
      </c>
      <c r="AG96" s="84">
        <f>S96+AE96+AF96</f>
        <v>3634.8</v>
      </c>
      <c r="AR96" s="91"/>
      <c r="AS96" s="92"/>
      <c r="AT96" s="91"/>
    </row>
    <row r="97" spans="2:46" s="90" customFormat="1" ht="15" customHeight="1">
      <c r="B97" s="107">
        <v>14</v>
      </c>
      <c r="C97" s="95" t="s">
        <v>486</v>
      </c>
      <c r="D97"/>
      <c r="E97" s="5">
        <v>2</v>
      </c>
      <c r="F97" s="124" t="s">
        <v>458</v>
      </c>
      <c r="G97" s="5">
        <v>2</v>
      </c>
      <c r="H97" s="5">
        <v>2460</v>
      </c>
      <c r="I97" s="5">
        <v>1.7732000000000001</v>
      </c>
      <c r="J97" s="5"/>
      <c r="K97" s="84">
        <f t="shared" si="39"/>
        <v>4362</v>
      </c>
      <c r="L97" s="5"/>
      <c r="M97" s="84">
        <f>L97*K97</f>
        <v>0</v>
      </c>
      <c r="N97" s="5"/>
      <c r="O97" s="111">
        <f>N97*K97</f>
        <v>0</v>
      </c>
      <c r="P97" s="84">
        <f t="shared" si="32"/>
        <v>8724</v>
      </c>
      <c r="Q97" s="5"/>
      <c r="R97" s="84">
        <f t="shared" si="33"/>
        <v>0</v>
      </c>
      <c r="S97" s="84">
        <f t="shared" si="34"/>
        <v>8724</v>
      </c>
      <c r="T97" s="5">
        <v>4</v>
      </c>
      <c r="U97" s="112">
        <f t="shared" si="38"/>
        <v>348.96</v>
      </c>
      <c r="V97" s="5"/>
      <c r="W97" s="5"/>
      <c r="X97" s="5"/>
      <c r="Y97" s="5"/>
      <c r="Z97" s="5"/>
      <c r="AA97" s="5"/>
      <c r="AB97" s="5"/>
      <c r="AC97" s="5"/>
      <c r="AD97" s="112">
        <v>690</v>
      </c>
      <c r="AE97" s="113">
        <f>U97+V97+W97+Y97+AA97+AC97+AD97</f>
        <v>1038.96</v>
      </c>
      <c r="AF97" s="75">
        <f>(S97+AE97)*0.3</f>
        <v>2928.8879999999995</v>
      </c>
      <c r="AG97" s="84">
        <f>S97+AE97+AF97</f>
        <v>12691.847999999998</v>
      </c>
      <c r="AR97" s="91"/>
      <c r="AS97" s="92"/>
      <c r="AT97" s="91"/>
    </row>
    <row r="98" spans="2:46" s="90" customFormat="1" ht="15" customHeight="1">
      <c r="B98" s="107"/>
      <c r="C98" s="95"/>
      <c r="D98"/>
      <c r="E98" s="5"/>
      <c r="F98" s="124"/>
      <c r="G98" s="5"/>
      <c r="H98" s="5"/>
      <c r="I98" s="5"/>
      <c r="J98" s="5"/>
      <c r="K98" s="84">
        <f t="shared" si="39"/>
        <v>0</v>
      </c>
      <c r="L98" s="5"/>
      <c r="M98" s="84"/>
      <c r="N98" s="5"/>
      <c r="O98" s="111"/>
      <c r="P98" s="84">
        <f t="shared" si="32"/>
        <v>0</v>
      </c>
      <c r="Q98" s="5"/>
      <c r="R98" s="84">
        <f t="shared" si="33"/>
        <v>0</v>
      </c>
      <c r="S98" s="84">
        <f t="shared" si="34"/>
        <v>0</v>
      </c>
      <c r="T98" s="5"/>
      <c r="U98" s="112"/>
      <c r="V98" s="5"/>
      <c r="W98" s="5"/>
      <c r="X98" s="5"/>
      <c r="Y98" s="5"/>
      <c r="Z98" s="5"/>
      <c r="AA98" s="5"/>
      <c r="AB98" s="5"/>
      <c r="AC98" s="5"/>
      <c r="AD98" s="112"/>
      <c r="AE98" s="113"/>
      <c r="AF98" s="75"/>
      <c r="AG98" s="84"/>
      <c r="AR98" s="91"/>
      <c r="AS98" s="92"/>
      <c r="AT98" s="91"/>
    </row>
    <row r="99" spans="2:46" s="90" customFormat="1" ht="15" customHeight="1">
      <c r="B99" s="107"/>
      <c r="C99" s="95"/>
      <c r="D99"/>
      <c r="E99" s="5"/>
      <c r="F99" s="124"/>
      <c r="G99" s="5"/>
      <c r="H99" s="5"/>
      <c r="I99" s="5"/>
      <c r="J99" s="5"/>
      <c r="K99" s="84">
        <f t="shared" si="39"/>
        <v>0</v>
      </c>
      <c r="L99" s="5"/>
      <c r="M99" s="84"/>
      <c r="N99" s="5"/>
      <c r="O99" s="111"/>
      <c r="P99" s="84">
        <f t="shared" si="32"/>
        <v>0</v>
      </c>
      <c r="Q99" s="5"/>
      <c r="R99" s="84">
        <f t="shared" si="33"/>
        <v>0</v>
      </c>
      <c r="S99" s="84">
        <f t="shared" si="34"/>
        <v>0</v>
      </c>
      <c r="T99" s="5"/>
      <c r="U99" s="112"/>
      <c r="V99" s="5"/>
      <c r="W99" s="5"/>
      <c r="X99" s="5"/>
      <c r="Y99" s="5"/>
      <c r="Z99" s="5"/>
      <c r="AA99" s="5"/>
      <c r="AB99" s="5"/>
      <c r="AC99" s="5"/>
      <c r="AD99" s="112"/>
      <c r="AE99" s="113"/>
      <c r="AF99" s="75"/>
      <c r="AG99" s="84"/>
      <c r="AR99" s="91"/>
      <c r="AS99" s="92"/>
      <c r="AT99" s="91"/>
    </row>
    <row r="100" spans="2:46" s="90" customFormat="1" ht="15" customHeight="1">
      <c r="B100" s="107"/>
      <c r="C100" s="95"/>
      <c r="D100"/>
      <c r="E100" s="5"/>
      <c r="F100" s="124"/>
      <c r="G100" s="5"/>
      <c r="H100" s="5"/>
      <c r="I100" s="5"/>
      <c r="J100" s="5"/>
      <c r="K100" s="84">
        <f t="shared" si="39"/>
        <v>0</v>
      </c>
      <c r="L100" s="5"/>
      <c r="M100" s="84"/>
      <c r="N100" s="5"/>
      <c r="O100" s="111"/>
      <c r="P100" s="84">
        <f t="shared" si="32"/>
        <v>0</v>
      </c>
      <c r="Q100" s="5"/>
      <c r="R100" s="84">
        <f t="shared" si="33"/>
        <v>0</v>
      </c>
      <c r="S100" s="84">
        <f t="shared" si="34"/>
        <v>0</v>
      </c>
      <c r="T100" s="5"/>
      <c r="U100" s="112"/>
      <c r="V100" s="5"/>
      <c r="W100" s="5"/>
      <c r="X100" s="5"/>
      <c r="Y100" s="5"/>
      <c r="Z100" s="5"/>
      <c r="AA100" s="5"/>
      <c r="AB100" s="5"/>
      <c r="AC100" s="5"/>
      <c r="AD100" s="112"/>
      <c r="AE100" s="113"/>
      <c r="AF100" s="75"/>
      <c r="AG100" s="84"/>
      <c r="AR100" s="91"/>
      <c r="AS100" s="92"/>
      <c r="AT100" s="91"/>
    </row>
    <row r="101" spans="2:46" s="90" customFormat="1" ht="15" customHeight="1">
      <c r="B101" s="107"/>
      <c r="C101" s="95"/>
      <c r="D101"/>
      <c r="E101" s="5"/>
      <c r="F101" s="124"/>
      <c r="G101" s="5"/>
      <c r="H101" s="5"/>
      <c r="I101" s="5"/>
      <c r="J101" s="5"/>
      <c r="K101" s="84">
        <f t="shared" si="39"/>
        <v>0</v>
      </c>
      <c r="L101" s="5"/>
      <c r="M101" s="84"/>
      <c r="N101" s="5"/>
      <c r="O101" s="111"/>
      <c r="P101" s="84">
        <f t="shared" si="32"/>
        <v>0</v>
      </c>
      <c r="Q101" s="5"/>
      <c r="R101" s="84">
        <f t="shared" si="33"/>
        <v>0</v>
      </c>
      <c r="S101" s="84">
        <f t="shared" si="34"/>
        <v>0</v>
      </c>
      <c r="T101" s="5"/>
      <c r="U101" s="112"/>
      <c r="V101" s="5"/>
      <c r="W101" s="5"/>
      <c r="X101" s="5"/>
      <c r="Y101" s="5"/>
      <c r="Z101" s="5"/>
      <c r="AA101" s="5"/>
      <c r="AB101" s="5"/>
      <c r="AC101" s="5"/>
      <c r="AD101" s="112"/>
      <c r="AE101" s="113"/>
      <c r="AF101" s="75"/>
      <c r="AG101" s="84"/>
      <c r="AR101" s="91"/>
      <c r="AS101" s="92"/>
      <c r="AT101" s="91"/>
    </row>
    <row r="102" spans="2:46" s="90" customFormat="1" ht="15" customHeight="1">
      <c r="B102" s="107"/>
      <c r="C102" s="95"/>
      <c r="D102"/>
      <c r="E102" s="5"/>
      <c r="F102" s="124"/>
      <c r="G102" s="5"/>
      <c r="H102" s="5"/>
      <c r="I102" s="5"/>
      <c r="J102" s="5"/>
      <c r="K102" s="84">
        <f t="shared" si="39"/>
        <v>0</v>
      </c>
      <c r="L102" s="5"/>
      <c r="M102" s="84"/>
      <c r="N102" s="5"/>
      <c r="O102" s="111"/>
      <c r="P102" s="84">
        <f t="shared" si="32"/>
        <v>0</v>
      </c>
      <c r="Q102" s="5"/>
      <c r="R102" s="84">
        <f t="shared" si="33"/>
        <v>0</v>
      </c>
      <c r="S102" s="84">
        <f t="shared" si="34"/>
        <v>0</v>
      </c>
      <c r="T102" s="5"/>
      <c r="U102" s="112"/>
      <c r="V102" s="5"/>
      <c r="W102" s="5"/>
      <c r="X102" s="5"/>
      <c r="Y102" s="5"/>
      <c r="Z102" s="5"/>
      <c r="AA102" s="5"/>
      <c r="AB102" s="5"/>
      <c r="AC102" s="5"/>
      <c r="AD102" s="112"/>
      <c r="AE102" s="113"/>
      <c r="AF102" s="75"/>
      <c r="AG102" s="84"/>
      <c r="AR102" s="91"/>
      <c r="AS102" s="92"/>
      <c r="AT102" s="91"/>
    </row>
    <row r="103" spans="2:46" s="90" customFormat="1" ht="15" customHeight="1">
      <c r="B103" s="107"/>
      <c r="C103" s="95"/>
      <c r="D103"/>
      <c r="E103" s="5"/>
      <c r="F103" s="124"/>
      <c r="G103" s="5"/>
      <c r="H103" s="5"/>
      <c r="I103" s="5"/>
      <c r="J103" s="5"/>
      <c r="K103" s="84">
        <f t="shared" si="39"/>
        <v>0</v>
      </c>
      <c r="L103" s="5"/>
      <c r="M103" s="84"/>
      <c r="N103" s="5"/>
      <c r="O103" s="111"/>
      <c r="P103" s="84">
        <f t="shared" si="32"/>
        <v>0</v>
      </c>
      <c r="Q103" s="5"/>
      <c r="R103" s="84">
        <f t="shared" si="33"/>
        <v>0</v>
      </c>
      <c r="S103" s="84">
        <f t="shared" si="34"/>
        <v>0</v>
      </c>
      <c r="T103" s="5"/>
      <c r="U103" s="112"/>
      <c r="V103" s="5"/>
      <c r="W103" s="5"/>
      <c r="X103" s="5"/>
      <c r="Y103" s="5"/>
      <c r="Z103" s="5"/>
      <c r="AA103" s="5"/>
      <c r="AB103" s="5"/>
      <c r="AC103" s="5"/>
      <c r="AD103" s="112"/>
      <c r="AE103" s="113"/>
      <c r="AF103" s="75"/>
      <c r="AG103" s="84"/>
      <c r="AR103" s="91"/>
      <c r="AS103" s="92"/>
      <c r="AT103" s="91"/>
    </row>
    <row r="104" spans="2:46" s="90" customFormat="1" ht="15" customHeight="1">
      <c r="B104" s="107"/>
      <c r="C104" s="95"/>
      <c r="D104"/>
      <c r="E104" s="5"/>
      <c r="F104" s="124"/>
      <c r="G104" s="5"/>
      <c r="H104" s="5"/>
      <c r="I104" s="5"/>
      <c r="J104" s="5"/>
      <c r="K104" s="84">
        <f t="shared" si="39"/>
        <v>0</v>
      </c>
      <c r="L104" s="5"/>
      <c r="M104" s="84"/>
      <c r="N104" s="5"/>
      <c r="O104" s="111"/>
      <c r="P104" s="84">
        <f t="shared" si="32"/>
        <v>0</v>
      </c>
      <c r="Q104" s="5"/>
      <c r="R104" s="84">
        <f t="shared" si="33"/>
        <v>0</v>
      </c>
      <c r="S104" s="84">
        <f t="shared" si="34"/>
        <v>0</v>
      </c>
      <c r="T104" s="5"/>
      <c r="U104" s="112"/>
      <c r="V104" s="5"/>
      <c r="W104" s="5"/>
      <c r="X104" s="5"/>
      <c r="Y104" s="5"/>
      <c r="Z104" s="5"/>
      <c r="AA104" s="5"/>
      <c r="AB104" s="5"/>
      <c r="AC104" s="5"/>
      <c r="AD104" s="112"/>
      <c r="AE104" s="113"/>
      <c r="AF104" s="75"/>
      <c r="AG104" s="84"/>
      <c r="AR104" s="91"/>
      <c r="AS104" s="92"/>
      <c r="AT104" s="91"/>
    </row>
    <row r="105" spans="2:46" s="90" customFormat="1" ht="15" customHeight="1">
      <c r="B105" s="107"/>
      <c r="C105" s="95"/>
      <c r="D105"/>
      <c r="E105" s="5"/>
      <c r="F105" s="124"/>
      <c r="G105" s="5"/>
      <c r="H105" s="5"/>
      <c r="I105" s="5"/>
      <c r="J105" s="5"/>
      <c r="K105" s="84">
        <f t="shared" si="39"/>
        <v>0</v>
      </c>
      <c r="L105" s="5"/>
      <c r="M105" s="84"/>
      <c r="N105" s="5"/>
      <c r="O105" s="111"/>
      <c r="P105" s="84">
        <f t="shared" si="32"/>
        <v>0</v>
      </c>
      <c r="Q105" s="5"/>
      <c r="R105" s="84">
        <f t="shared" si="33"/>
        <v>0</v>
      </c>
      <c r="S105" s="84">
        <f t="shared" si="34"/>
        <v>0</v>
      </c>
      <c r="T105" s="5"/>
      <c r="U105" s="112"/>
      <c r="V105" s="5"/>
      <c r="W105" s="5"/>
      <c r="X105" s="5"/>
      <c r="Y105" s="5"/>
      <c r="Z105" s="5"/>
      <c r="AA105" s="5"/>
      <c r="AB105" s="5"/>
      <c r="AC105" s="5"/>
      <c r="AD105" s="112"/>
      <c r="AE105" s="113"/>
      <c r="AF105" s="75"/>
      <c r="AG105" s="84"/>
      <c r="AR105" s="91"/>
      <c r="AS105" s="92"/>
      <c r="AT105" s="91"/>
    </row>
    <row r="106" spans="2:46" s="90" customFormat="1" ht="15" customHeight="1">
      <c r="B106" s="107"/>
      <c r="C106" s="95"/>
      <c r="D106"/>
      <c r="E106" s="5"/>
      <c r="F106" s="124"/>
      <c r="G106" s="5"/>
      <c r="H106" s="5"/>
      <c r="I106" s="5"/>
      <c r="J106" s="5"/>
      <c r="K106" s="84">
        <f t="shared" si="39"/>
        <v>0</v>
      </c>
      <c r="L106" s="5"/>
      <c r="M106" s="84"/>
      <c r="N106" s="5"/>
      <c r="O106" s="111"/>
      <c r="P106" s="84">
        <f t="shared" si="32"/>
        <v>0</v>
      </c>
      <c r="Q106" s="5"/>
      <c r="R106" s="84">
        <f t="shared" si="33"/>
        <v>0</v>
      </c>
      <c r="S106" s="84">
        <f t="shared" si="34"/>
        <v>0</v>
      </c>
      <c r="T106" s="5"/>
      <c r="U106" s="112"/>
      <c r="V106" s="5"/>
      <c r="W106" s="5"/>
      <c r="X106" s="5"/>
      <c r="Y106" s="5"/>
      <c r="Z106" s="5"/>
      <c r="AA106" s="5"/>
      <c r="AB106" s="5"/>
      <c r="AC106" s="5"/>
      <c r="AD106" s="112"/>
      <c r="AE106" s="113"/>
      <c r="AF106" s="75"/>
      <c r="AG106" s="84"/>
      <c r="AR106" s="91"/>
      <c r="AS106" s="92"/>
      <c r="AT106" s="91"/>
    </row>
    <row r="107" spans="2:46" s="90" customFormat="1" ht="15" customHeight="1">
      <c r="B107" s="107"/>
      <c r="C107" s="95"/>
      <c r="D107"/>
      <c r="E107" s="5"/>
      <c r="F107" s="124"/>
      <c r="G107" s="5"/>
      <c r="H107" s="5"/>
      <c r="I107" s="5"/>
      <c r="J107" s="5"/>
      <c r="K107" s="84">
        <f t="shared" si="39"/>
        <v>0</v>
      </c>
      <c r="L107" s="5"/>
      <c r="M107" s="84"/>
      <c r="N107" s="5"/>
      <c r="O107" s="111"/>
      <c r="P107" s="84">
        <f t="shared" si="32"/>
        <v>0</v>
      </c>
      <c r="Q107" s="5"/>
      <c r="R107" s="84">
        <f t="shared" si="33"/>
        <v>0</v>
      </c>
      <c r="S107" s="84">
        <f t="shared" si="34"/>
        <v>0</v>
      </c>
      <c r="T107" s="5"/>
      <c r="U107" s="112"/>
      <c r="V107" s="5"/>
      <c r="W107" s="5"/>
      <c r="X107" s="5"/>
      <c r="Y107" s="5"/>
      <c r="Z107" s="5"/>
      <c r="AA107" s="5"/>
      <c r="AB107" s="5"/>
      <c r="AC107" s="5"/>
      <c r="AD107" s="112"/>
      <c r="AE107" s="113"/>
      <c r="AF107" s="75"/>
      <c r="AG107" s="84"/>
      <c r="AR107" s="91"/>
      <c r="AS107" s="92"/>
      <c r="AT107" s="91"/>
    </row>
    <row r="108" spans="2:46" s="90" customFormat="1" ht="15" customHeight="1">
      <c r="B108" s="107"/>
      <c r="C108" s="95"/>
      <c r="D108"/>
      <c r="E108" s="5"/>
      <c r="F108" s="124"/>
      <c r="G108" s="5"/>
      <c r="H108" s="5"/>
      <c r="I108" s="5"/>
      <c r="J108" s="5"/>
      <c r="K108" s="84">
        <f t="shared" si="39"/>
        <v>0</v>
      </c>
      <c r="L108" s="5"/>
      <c r="M108" s="84"/>
      <c r="N108" s="5"/>
      <c r="O108" s="111"/>
      <c r="P108" s="84">
        <f t="shared" si="32"/>
        <v>0</v>
      </c>
      <c r="Q108" s="5"/>
      <c r="R108" s="84">
        <f t="shared" si="33"/>
        <v>0</v>
      </c>
      <c r="S108" s="84">
        <f t="shared" si="34"/>
        <v>0</v>
      </c>
      <c r="T108" s="5"/>
      <c r="U108" s="112"/>
      <c r="V108" s="5"/>
      <c r="W108" s="5"/>
      <c r="X108" s="5"/>
      <c r="Y108" s="5"/>
      <c r="Z108" s="5"/>
      <c r="AA108" s="5"/>
      <c r="AB108" s="5"/>
      <c r="AC108" s="5"/>
      <c r="AD108" s="112"/>
      <c r="AE108" s="113"/>
      <c r="AF108" s="75"/>
      <c r="AG108" s="84"/>
      <c r="AR108" s="91"/>
      <c r="AS108" s="92"/>
      <c r="AT108" s="91"/>
    </row>
    <row r="109" spans="2:46" s="90" customFormat="1" ht="15" customHeight="1">
      <c r="B109" s="107"/>
      <c r="C109" s="95"/>
      <c r="D109"/>
      <c r="E109" s="5"/>
      <c r="F109" s="124"/>
      <c r="G109" s="5"/>
      <c r="H109" s="5"/>
      <c r="I109" s="5"/>
      <c r="J109" s="5"/>
      <c r="K109" s="84">
        <f t="shared" si="39"/>
        <v>0</v>
      </c>
      <c r="L109" s="5"/>
      <c r="M109" s="84"/>
      <c r="N109" s="5"/>
      <c r="O109" s="111"/>
      <c r="P109" s="84">
        <f t="shared" si="32"/>
        <v>0</v>
      </c>
      <c r="Q109" s="5"/>
      <c r="R109" s="84">
        <f t="shared" si="33"/>
        <v>0</v>
      </c>
      <c r="S109" s="84">
        <f t="shared" si="34"/>
        <v>0</v>
      </c>
      <c r="T109" s="5"/>
      <c r="U109" s="112"/>
      <c r="V109" s="5"/>
      <c r="W109" s="5"/>
      <c r="X109" s="5"/>
      <c r="Y109" s="5"/>
      <c r="Z109" s="5"/>
      <c r="AA109" s="5"/>
      <c r="AB109" s="5"/>
      <c r="AC109" s="5"/>
      <c r="AD109" s="112"/>
      <c r="AE109" s="113"/>
      <c r="AF109" s="75"/>
      <c r="AG109" s="84"/>
      <c r="AR109" s="91"/>
      <c r="AS109" s="92"/>
      <c r="AT109" s="91"/>
    </row>
    <row r="110" spans="2:46" s="90" customFormat="1" ht="15" customHeight="1">
      <c r="B110" s="107"/>
      <c r="C110" s="95"/>
      <c r="D110"/>
      <c r="E110" s="5"/>
      <c r="F110" s="124"/>
      <c r="G110" s="5"/>
      <c r="H110" s="5"/>
      <c r="I110" s="5"/>
      <c r="J110" s="5"/>
      <c r="K110" s="84">
        <f t="shared" si="39"/>
        <v>0</v>
      </c>
      <c r="L110" s="5"/>
      <c r="M110" s="84"/>
      <c r="N110" s="5"/>
      <c r="O110" s="111"/>
      <c r="P110" s="84">
        <f t="shared" si="32"/>
        <v>0</v>
      </c>
      <c r="Q110" s="5"/>
      <c r="R110" s="84">
        <f t="shared" si="33"/>
        <v>0</v>
      </c>
      <c r="S110" s="84">
        <f t="shared" si="34"/>
        <v>0</v>
      </c>
      <c r="T110" s="5"/>
      <c r="U110" s="112"/>
      <c r="V110" s="5"/>
      <c r="W110" s="5"/>
      <c r="X110" s="5"/>
      <c r="Y110" s="5"/>
      <c r="Z110" s="5"/>
      <c r="AA110" s="5"/>
      <c r="AB110" s="5"/>
      <c r="AC110" s="5"/>
      <c r="AD110" s="112"/>
      <c r="AE110" s="113"/>
      <c r="AF110" s="75"/>
      <c r="AG110" s="84"/>
      <c r="AR110" s="91"/>
      <c r="AS110" s="92"/>
      <c r="AT110" s="91"/>
    </row>
    <row r="111" spans="2:46" s="90" customFormat="1" ht="15" customHeight="1">
      <c r="B111" s="107"/>
      <c r="C111" s="95"/>
      <c r="D111"/>
      <c r="E111" s="5"/>
      <c r="F111" s="124"/>
      <c r="G111" s="5"/>
      <c r="H111" s="5"/>
      <c r="I111" s="5"/>
      <c r="J111" s="5"/>
      <c r="K111" s="84">
        <f t="shared" si="39"/>
        <v>0</v>
      </c>
      <c r="L111" s="5"/>
      <c r="M111" s="84"/>
      <c r="N111" s="5"/>
      <c r="O111" s="111"/>
      <c r="P111" s="84">
        <f t="shared" si="32"/>
        <v>0</v>
      </c>
      <c r="Q111" s="5"/>
      <c r="R111" s="84">
        <f t="shared" si="33"/>
        <v>0</v>
      </c>
      <c r="S111" s="84">
        <f t="shared" si="34"/>
        <v>0</v>
      </c>
      <c r="T111" s="5"/>
      <c r="U111" s="112"/>
      <c r="V111" s="5"/>
      <c r="W111" s="5"/>
      <c r="X111" s="5"/>
      <c r="Y111" s="5"/>
      <c r="Z111" s="5"/>
      <c r="AA111" s="5"/>
      <c r="AB111" s="5"/>
      <c r="AC111" s="5"/>
      <c r="AD111" s="112"/>
      <c r="AE111" s="113"/>
      <c r="AF111" s="75"/>
      <c r="AG111" s="84"/>
      <c r="AR111" s="91"/>
      <c r="AS111" s="92"/>
      <c r="AT111" s="91"/>
    </row>
    <row r="112" spans="2:46" s="90" customFormat="1" ht="15" customHeight="1">
      <c r="B112" s="107"/>
      <c r="C112" s="95"/>
      <c r="D112"/>
      <c r="E112" s="5"/>
      <c r="F112" s="124"/>
      <c r="G112" s="5"/>
      <c r="H112" s="5"/>
      <c r="I112" s="5"/>
      <c r="J112" s="5"/>
      <c r="K112" s="84">
        <f t="shared" si="39"/>
        <v>0</v>
      </c>
      <c r="L112" s="5"/>
      <c r="M112" s="84"/>
      <c r="N112" s="5"/>
      <c r="O112" s="111"/>
      <c r="P112" s="84">
        <f t="shared" si="32"/>
        <v>0</v>
      </c>
      <c r="Q112" s="5"/>
      <c r="R112" s="84">
        <f t="shared" si="33"/>
        <v>0</v>
      </c>
      <c r="S112" s="84">
        <f t="shared" si="34"/>
        <v>0</v>
      </c>
      <c r="T112" s="5"/>
      <c r="U112" s="112"/>
      <c r="V112" s="5"/>
      <c r="W112" s="5"/>
      <c r="X112" s="5"/>
      <c r="Y112" s="5"/>
      <c r="Z112" s="5"/>
      <c r="AA112" s="5"/>
      <c r="AB112" s="5"/>
      <c r="AC112" s="5"/>
      <c r="AD112" s="112"/>
      <c r="AE112" s="113"/>
      <c r="AF112" s="75"/>
      <c r="AG112" s="84"/>
      <c r="AR112" s="91"/>
      <c r="AS112" s="92"/>
      <c r="AT112" s="91"/>
    </row>
    <row r="113" spans="2:46" s="90" customFormat="1" ht="15" customHeight="1">
      <c r="B113" s="107"/>
      <c r="C113" s="95"/>
      <c r="D113"/>
      <c r="E113" s="5"/>
      <c r="F113" s="124"/>
      <c r="G113" s="5"/>
      <c r="H113" s="5"/>
      <c r="I113" s="5"/>
      <c r="J113" s="5"/>
      <c r="K113" s="84">
        <f t="shared" si="39"/>
        <v>0</v>
      </c>
      <c r="L113" s="5"/>
      <c r="M113" s="84"/>
      <c r="N113" s="5"/>
      <c r="O113" s="111"/>
      <c r="P113" s="84">
        <f t="shared" si="32"/>
        <v>0</v>
      </c>
      <c r="Q113" s="5"/>
      <c r="R113" s="84">
        <f t="shared" si="33"/>
        <v>0</v>
      </c>
      <c r="S113" s="84">
        <f t="shared" si="34"/>
        <v>0</v>
      </c>
      <c r="T113" s="5"/>
      <c r="U113" s="112"/>
      <c r="V113" s="5"/>
      <c r="W113" s="5"/>
      <c r="X113" s="5"/>
      <c r="Y113" s="5"/>
      <c r="Z113" s="5"/>
      <c r="AA113" s="5"/>
      <c r="AB113" s="5"/>
      <c r="AC113" s="5"/>
      <c r="AD113" s="112"/>
      <c r="AE113" s="113"/>
      <c r="AF113" s="75"/>
      <c r="AG113" s="84"/>
      <c r="AR113" s="91"/>
      <c r="AS113" s="92"/>
      <c r="AT113" s="91"/>
    </row>
    <row r="114" spans="2:46" s="90" customFormat="1" ht="15" customHeight="1">
      <c r="B114" s="107">
        <v>15</v>
      </c>
      <c r="C114" s="95" t="s">
        <v>487</v>
      </c>
      <c r="D114"/>
      <c r="E114" s="5">
        <v>2</v>
      </c>
      <c r="F114" s="124" t="s">
        <v>458</v>
      </c>
      <c r="G114" s="5">
        <v>2</v>
      </c>
      <c r="H114" s="5">
        <v>2907</v>
      </c>
      <c r="I114" s="5">
        <v>1.5004</v>
      </c>
      <c r="J114" s="5"/>
      <c r="K114" s="84">
        <v>4362</v>
      </c>
      <c r="L114" s="5"/>
      <c r="M114" s="84">
        <f>L114*K114</f>
        <v>0</v>
      </c>
      <c r="N114" s="5"/>
      <c r="O114" s="111">
        <f>N114*K114</f>
        <v>0</v>
      </c>
      <c r="P114" s="84">
        <f t="shared" si="32"/>
        <v>8724</v>
      </c>
      <c r="Q114" s="5"/>
      <c r="R114" s="84">
        <f t="shared" si="33"/>
        <v>0</v>
      </c>
      <c r="S114" s="84">
        <f t="shared" si="34"/>
        <v>8724</v>
      </c>
      <c r="T114" s="5">
        <v>4</v>
      </c>
      <c r="U114" s="112">
        <f>S114*T114/100</f>
        <v>348.96</v>
      </c>
      <c r="V114" s="5"/>
      <c r="W114" s="5"/>
      <c r="X114" s="5"/>
      <c r="Y114" s="5"/>
      <c r="Z114" s="5"/>
      <c r="AA114" s="5"/>
      <c r="AB114" s="5"/>
      <c r="AC114" s="5"/>
      <c r="AD114" s="5"/>
      <c r="AE114" s="113">
        <f>U114+V114+W114+Y114+AA114+AC114+AD114</f>
        <v>348.96</v>
      </c>
      <c r="AF114" s="75">
        <f>(S114+AE114)*0.3</f>
        <v>2721.8879999999995</v>
      </c>
      <c r="AG114" s="84">
        <f>S114+AE114+AF114</f>
        <v>11794.847999999998</v>
      </c>
      <c r="AR114" s="91"/>
      <c r="AS114" s="92"/>
      <c r="AT114" s="91"/>
    </row>
    <row r="115" spans="2:46" ht="15" thickBot="1">
      <c r="B115" s="98"/>
      <c r="C115" s="99" t="s">
        <v>240</v>
      </c>
      <c r="D115" s="99"/>
      <c r="E115" s="99">
        <f>SUM(E84:E114)</f>
        <v>26.5</v>
      </c>
      <c r="F115" s="100"/>
      <c r="G115" s="100"/>
      <c r="H115" s="100"/>
      <c r="I115" s="100"/>
      <c r="J115" s="100"/>
      <c r="K115" s="99">
        <f>SUM(K84:K114)</f>
        <v>57486</v>
      </c>
      <c r="L115" s="100"/>
      <c r="M115" s="99">
        <f>SUM(M84:M114)</f>
        <v>0</v>
      </c>
      <c r="N115" s="100"/>
      <c r="O115" s="99">
        <f>SUM(O84:O114)</f>
        <v>0</v>
      </c>
      <c r="P115" s="99">
        <f>SUM(P84:P114)</f>
        <v>108097</v>
      </c>
      <c r="Q115" s="100"/>
      <c r="R115" s="99">
        <f>SUM(R84:R114)</f>
        <v>0</v>
      </c>
      <c r="S115" s="99">
        <f>SUM(S84:S114)</f>
        <v>108097</v>
      </c>
      <c r="T115" s="100"/>
      <c r="U115" s="99">
        <f>SUM(U84:U114)</f>
        <v>6158.28</v>
      </c>
      <c r="V115" s="99">
        <f>SUM(V84:V114)</f>
        <v>0</v>
      </c>
      <c r="W115" s="99">
        <f>SUM(W84:W114)</f>
        <v>0</v>
      </c>
      <c r="X115" s="100"/>
      <c r="Y115" s="99">
        <f>SUM(Y84:Y114)</f>
        <v>0</v>
      </c>
      <c r="Z115" s="100"/>
      <c r="AA115" s="99">
        <f>SUM(AA84:AA114)</f>
        <v>0</v>
      </c>
      <c r="AB115" s="100"/>
      <c r="AC115" s="99">
        <f>SUM(AC84:AC114)</f>
        <v>0</v>
      </c>
      <c r="AD115" s="99">
        <f>SUM(AD84:AD114)</f>
        <v>969.6</v>
      </c>
      <c r="AE115" s="99">
        <f>SUM(AE84:AE114)</f>
        <v>7127.88</v>
      </c>
      <c r="AF115" s="99">
        <f>SUM(AF84:AF114)</f>
        <v>34567.464</v>
      </c>
      <c r="AG115" s="99">
        <f>SUM(AG84:AG114)</f>
        <v>149792.34399999998</v>
      </c>
    </row>
    <row r="116" spans="2:46" ht="21" customHeight="1">
      <c r="B116" s="104"/>
      <c r="C116" s="141" t="s">
        <v>383</v>
      </c>
      <c r="D116" s="141"/>
      <c r="E116" s="73"/>
      <c r="F116" s="73"/>
      <c r="G116" s="73"/>
      <c r="H116" s="73"/>
      <c r="I116" s="73"/>
      <c r="J116" s="73"/>
      <c r="K116" s="75"/>
      <c r="L116" s="73"/>
      <c r="M116" s="106"/>
      <c r="N116" s="73"/>
      <c r="O116" s="73"/>
      <c r="P116" s="75"/>
      <c r="Q116" s="73"/>
      <c r="R116" s="73"/>
      <c r="S116" s="75"/>
      <c r="T116" s="73"/>
      <c r="U116" s="76"/>
      <c r="V116" s="77"/>
      <c r="W116" s="77"/>
      <c r="X116" s="77"/>
      <c r="Y116" s="77"/>
      <c r="Z116" s="77"/>
      <c r="AA116" s="77"/>
      <c r="AB116" s="77"/>
      <c r="AC116" s="73"/>
      <c r="AD116" s="73"/>
      <c r="AE116" s="73"/>
      <c r="AF116" s="75"/>
      <c r="AG116" s="75"/>
    </row>
    <row r="117" spans="2:46" s="90" customFormat="1" ht="31.8">
      <c r="B117" s="107">
        <v>1</v>
      </c>
      <c r="C117" s="107" t="s">
        <v>488</v>
      </c>
      <c r="D117" s="107"/>
      <c r="E117" s="78">
        <v>3.5</v>
      </c>
      <c r="F117" s="133" t="s">
        <v>489</v>
      </c>
      <c r="G117" s="78">
        <v>3</v>
      </c>
      <c r="H117" s="78">
        <v>2460</v>
      </c>
      <c r="I117" s="78">
        <v>1.5</v>
      </c>
      <c r="J117" s="78"/>
      <c r="K117" s="84">
        <f t="shared" ref="K117:K128" si="40">INT(IF(AND(H117="",I117="",J117=""),0,IF(H117="",1,H117)*IF(I117="",1,I117)*IF(J117="",1,J117)))</f>
        <v>3690</v>
      </c>
      <c r="L117" s="78"/>
      <c r="M117" s="84">
        <f t="shared" ref="M117:M128" si="41">L117*K117</f>
        <v>0</v>
      </c>
      <c r="N117" s="78"/>
      <c r="O117" s="111">
        <f t="shared" ref="O117:O128" si="42">N117*K117</f>
        <v>0</v>
      </c>
      <c r="P117" s="84">
        <f t="shared" ref="P117:P143" si="43">(K117+M117+O117)*E117</f>
        <v>12915</v>
      </c>
      <c r="Q117" s="5"/>
      <c r="R117" s="84">
        <f t="shared" ref="R117:R143" si="44">Q117*$K117*E117</f>
        <v>0</v>
      </c>
      <c r="S117" s="84">
        <f t="shared" ref="S117:S143" si="45">(P117+R117)</f>
        <v>12915</v>
      </c>
      <c r="T117" s="78">
        <v>12</v>
      </c>
      <c r="U117" s="5">
        <f>S117*T117/100</f>
        <v>1549.8</v>
      </c>
      <c r="V117" s="86"/>
      <c r="W117" s="86"/>
      <c r="X117" s="86"/>
      <c r="Y117" s="86"/>
      <c r="Z117" s="86"/>
      <c r="AA117" s="86"/>
      <c r="AB117" s="86"/>
      <c r="AC117" s="107"/>
      <c r="AD117" s="107"/>
      <c r="AE117" s="88">
        <f>U117+V117+W117+Y117+AA117+AC117+AD117</f>
        <v>1549.8</v>
      </c>
      <c r="AF117" s="75">
        <f>(S117+AE117)*0.3</f>
        <v>4339.4399999999996</v>
      </c>
      <c r="AG117" s="84">
        <f>S117+AE117+AF117</f>
        <v>18804.239999999998</v>
      </c>
      <c r="AR117" s="91"/>
      <c r="AS117" s="92"/>
      <c r="AT117" s="91"/>
    </row>
    <row r="118" spans="2:46" s="90" customFormat="1" ht="15" customHeight="1">
      <c r="B118" s="107">
        <v>2</v>
      </c>
      <c r="C118" s="115" t="s">
        <v>490</v>
      </c>
      <c r="D118" s="5"/>
      <c r="E118" s="5">
        <v>1</v>
      </c>
      <c r="F118" s="124" t="s">
        <v>458</v>
      </c>
      <c r="G118" s="5">
        <v>3</v>
      </c>
      <c r="H118" s="5">
        <v>2460</v>
      </c>
      <c r="I118" s="5">
        <v>1.5</v>
      </c>
      <c r="J118" s="5"/>
      <c r="K118" s="84">
        <f t="shared" si="40"/>
        <v>3690</v>
      </c>
      <c r="L118" s="5"/>
      <c r="M118" s="84">
        <f t="shared" si="41"/>
        <v>0</v>
      </c>
      <c r="N118" s="5"/>
      <c r="O118" s="111">
        <f t="shared" si="42"/>
        <v>0</v>
      </c>
      <c r="P118" s="84">
        <f t="shared" si="43"/>
        <v>3690</v>
      </c>
      <c r="Q118" s="5"/>
      <c r="R118" s="84">
        <f t="shared" si="44"/>
        <v>0</v>
      </c>
      <c r="S118" s="84">
        <f t="shared" si="45"/>
        <v>3690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88">
        <f t="shared" ref="AE118:AE128" si="46">U118+V118+W118+Y118+AA118+AC118+AD118</f>
        <v>0</v>
      </c>
      <c r="AF118" s="75">
        <f t="shared" ref="AF118:AF128" si="47">(S118+AE118)*0.3</f>
        <v>1107</v>
      </c>
      <c r="AG118" s="84">
        <f t="shared" ref="AG118:AG143" si="48">S118+AE118+AF118</f>
        <v>4797</v>
      </c>
      <c r="AR118" s="91"/>
      <c r="AS118" s="92"/>
      <c r="AT118" s="91"/>
    </row>
    <row r="119" spans="2:46" s="90" customFormat="1" ht="15" customHeight="1">
      <c r="B119" s="107">
        <v>3</v>
      </c>
      <c r="C119" s="115" t="s">
        <v>491</v>
      </c>
      <c r="D119" s="5"/>
      <c r="E119" s="5">
        <v>3</v>
      </c>
      <c r="F119" s="124" t="s">
        <v>458</v>
      </c>
      <c r="G119" s="5">
        <v>3</v>
      </c>
      <c r="H119" s="78">
        <v>2460</v>
      </c>
      <c r="I119" s="5">
        <v>1.5</v>
      </c>
      <c r="J119" s="5"/>
      <c r="K119" s="84">
        <f t="shared" si="40"/>
        <v>3690</v>
      </c>
      <c r="L119" s="5"/>
      <c r="M119" s="84">
        <f t="shared" si="41"/>
        <v>0</v>
      </c>
      <c r="N119" s="5"/>
      <c r="O119" s="111">
        <f t="shared" si="42"/>
        <v>0</v>
      </c>
      <c r="P119" s="84">
        <f t="shared" si="43"/>
        <v>11070</v>
      </c>
      <c r="Q119" s="5"/>
      <c r="R119" s="84">
        <f t="shared" si="44"/>
        <v>0</v>
      </c>
      <c r="S119" s="84">
        <f t="shared" si="45"/>
        <v>11070</v>
      </c>
      <c r="T119" s="5">
        <v>4</v>
      </c>
      <c r="U119" s="5">
        <f t="shared" ref="U119:U130" si="49">S119*T119/100</f>
        <v>442.8</v>
      </c>
      <c r="V119" s="5"/>
      <c r="W119" s="5"/>
      <c r="X119" s="5"/>
      <c r="Y119" s="5"/>
      <c r="Z119" s="5"/>
      <c r="AA119" s="5"/>
      <c r="AB119" s="5"/>
      <c r="AC119" s="5"/>
      <c r="AD119" s="5">
        <f>S119*30/100</f>
        <v>3321</v>
      </c>
      <c r="AE119" s="88">
        <f t="shared" si="46"/>
        <v>3763.8</v>
      </c>
      <c r="AF119" s="75">
        <f t="shared" si="47"/>
        <v>4450.1399999999994</v>
      </c>
      <c r="AG119" s="84">
        <f t="shared" si="48"/>
        <v>19283.939999999999</v>
      </c>
      <c r="AR119" s="91"/>
      <c r="AS119" s="92"/>
      <c r="AT119" s="91"/>
    </row>
    <row r="120" spans="2:46" s="90" customFormat="1" ht="15" customHeight="1">
      <c r="B120" s="107">
        <v>4</v>
      </c>
      <c r="C120" s="115" t="s">
        <v>492</v>
      </c>
      <c r="D120" s="5"/>
      <c r="E120" s="5">
        <v>1</v>
      </c>
      <c r="F120" s="124" t="s">
        <v>458</v>
      </c>
      <c r="G120" s="5">
        <v>2</v>
      </c>
      <c r="H120" s="5">
        <v>2460</v>
      </c>
      <c r="I120" s="5">
        <v>1.2273000000000001</v>
      </c>
      <c r="J120" s="5"/>
      <c r="K120" s="84">
        <f t="shared" si="40"/>
        <v>3019</v>
      </c>
      <c r="L120" s="5"/>
      <c r="M120" s="84">
        <f t="shared" si="41"/>
        <v>0</v>
      </c>
      <c r="N120" s="5"/>
      <c r="O120" s="111">
        <f t="shared" si="42"/>
        <v>0</v>
      </c>
      <c r="P120" s="84">
        <f t="shared" si="43"/>
        <v>3019</v>
      </c>
      <c r="Q120" s="5"/>
      <c r="R120" s="84">
        <f t="shared" si="44"/>
        <v>0</v>
      </c>
      <c r="S120" s="84">
        <f t="shared" si="45"/>
        <v>3019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88">
        <f t="shared" si="46"/>
        <v>0</v>
      </c>
      <c r="AF120" s="75">
        <f t="shared" si="47"/>
        <v>905.69999999999993</v>
      </c>
      <c r="AG120" s="84">
        <f t="shared" si="48"/>
        <v>3924.7</v>
      </c>
      <c r="AR120" s="91"/>
      <c r="AS120" s="92"/>
      <c r="AT120" s="91"/>
    </row>
    <row r="121" spans="2:46" s="90" customFormat="1" ht="15" customHeight="1">
      <c r="B121" s="107">
        <v>5</v>
      </c>
      <c r="C121" s="5" t="s">
        <v>493</v>
      </c>
      <c r="D121" s="7"/>
      <c r="E121" s="5">
        <v>2</v>
      </c>
      <c r="F121" s="124" t="s">
        <v>458</v>
      </c>
      <c r="G121" s="5">
        <v>2</v>
      </c>
      <c r="H121" s="78">
        <v>2460</v>
      </c>
      <c r="I121" s="5">
        <v>1.2273000000000001</v>
      </c>
      <c r="J121" s="5"/>
      <c r="K121" s="84">
        <f t="shared" si="40"/>
        <v>3019</v>
      </c>
      <c r="L121" s="5"/>
      <c r="M121" s="84">
        <f t="shared" si="41"/>
        <v>0</v>
      </c>
      <c r="N121" s="5"/>
      <c r="O121" s="111">
        <f t="shared" si="42"/>
        <v>0</v>
      </c>
      <c r="P121" s="84">
        <f t="shared" si="43"/>
        <v>6038</v>
      </c>
      <c r="Q121" s="5"/>
      <c r="R121" s="84">
        <f t="shared" si="44"/>
        <v>0</v>
      </c>
      <c r="S121" s="84">
        <f t="shared" si="45"/>
        <v>6038</v>
      </c>
      <c r="T121" s="5">
        <v>4</v>
      </c>
      <c r="U121" s="5">
        <f t="shared" si="49"/>
        <v>241.52</v>
      </c>
      <c r="V121" s="5"/>
      <c r="W121" s="5"/>
      <c r="X121" s="5"/>
      <c r="Y121" s="5"/>
      <c r="Z121" s="5"/>
      <c r="AA121" s="5"/>
      <c r="AB121" s="5"/>
      <c r="AC121" s="5"/>
      <c r="AD121" s="5"/>
      <c r="AE121" s="88">
        <f t="shared" si="46"/>
        <v>241.52</v>
      </c>
      <c r="AF121" s="75">
        <f t="shared" si="47"/>
        <v>1883.856</v>
      </c>
      <c r="AG121" s="84">
        <f t="shared" si="48"/>
        <v>8163.3760000000002</v>
      </c>
      <c r="AR121" s="91"/>
      <c r="AS121" s="92"/>
      <c r="AT121" s="91"/>
    </row>
    <row r="122" spans="2:46" s="90" customFormat="1" ht="15" customHeight="1">
      <c r="B122" s="107">
        <v>6</v>
      </c>
      <c r="C122" s="5" t="s">
        <v>494</v>
      </c>
      <c r="D122" s="5"/>
      <c r="E122" s="5">
        <v>3</v>
      </c>
      <c r="F122" s="124" t="s">
        <v>458</v>
      </c>
      <c r="G122" s="5">
        <v>2</v>
      </c>
      <c r="H122" s="5">
        <v>2460</v>
      </c>
      <c r="I122" s="5">
        <v>1.2273000000000001</v>
      </c>
      <c r="J122" s="5"/>
      <c r="K122" s="84">
        <f t="shared" si="40"/>
        <v>3019</v>
      </c>
      <c r="L122" s="5"/>
      <c r="M122" s="84">
        <f t="shared" si="41"/>
        <v>0</v>
      </c>
      <c r="N122" s="5"/>
      <c r="O122" s="111">
        <f t="shared" si="42"/>
        <v>0</v>
      </c>
      <c r="P122" s="84">
        <f t="shared" si="43"/>
        <v>9057</v>
      </c>
      <c r="Q122" s="5"/>
      <c r="R122" s="84">
        <f t="shared" si="44"/>
        <v>0</v>
      </c>
      <c r="S122" s="84">
        <f t="shared" si="45"/>
        <v>9057</v>
      </c>
      <c r="T122" s="5">
        <v>4</v>
      </c>
      <c r="U122" s="5">
        <f t="shared" si="49"/>
        <v>362.28</v>
      </c>
      <c r="V122" s="5"/>
      <c r="W122" s="5"/>
      <c r="X122" s="5"/>
      <c r="Y122" s="5"/>
      <c r="Z122" s="5"/>
      <c r="AA122" s="5"/>
      <c r="AB122" s="5"/>
      <c r="AC122" s="5"/>
      <c r="AD122" s="5"/>
      <c r="AE122" s="88">
        <f t="shared" si="46"/>
        <v>362.28</v>
      </c>
      <c r="AF122" s="75">
        <f t="shared" si="47"/>
        <v>2825.7840000000001</v>
      </c>
      <c r="AG122" s="84">
        <f t="shared" si="48"/>
        <v>12245.064</v>
      </c>
      <c r="AR122" s="91"/>
      <c r="AS122" s="92"/>
      <c r="AT122" s="91"/>
    </row>
    <row r="123" spans="2:46" s="90" customFormat="1" ht="15" customHeight="1">
      <c r="B123" s="107">
        <v>7</v>
      </c>
      <c r="C123" s="5" t="s">
        <v>495</v>
      </c>
      <c r="D123" s="5"/>
      <c r="E123" s="5">
        <v>3.5</v>
      </c>
      <c r="F123" s="124" t="s">
        <v>458</v>
      </c>
      <c r="G123" s="5">
        <v>2</v>
      </c>
      <c r="H123" s="78">
        <v>2460</v>
      </c>
      <c r="I123" s="5">
        <v>1.2273000000000001</v>
      </c>
      <c r="J123" s="5"/>
      <c r="K123" s="84">
        <f t="shared" si="40"/>
        <v>3019</v>
      </c>
      <c r="L123" s="5"/>
      <c r="M123" s="84">
        <f t="shared" si="41"/>
        <v>0</v>
      </c>
      <c r="N123" s="5"/>
      <c r="O123" s="111">
        <f t="shared" si="42"/>
        <v>0</v>
      </c>
      <c r="P123" s="84">
        <f t="shared" si="43"/>
        <v>10566.5</v>
      </c>
      <c r="Q123" s="5"/>
      <c r="R123" s="84">
        <f t="shared" si="44"/>
        <v>0</v>
      </c>
      <c r="S123" s="84">
        <f t="shared" si="45"/>
        <v>10566.5</v>
      </c>
      <c r="T123" s="5">
        <v>12</v>
      </c>
      <c r="U123" s="5">
        <f>S123*T123/100</f>
        <v>1267.98</v>
      </c>
      <c r="V123" s="5"/>
      <c r="W123" s="5"/>
      <c r="X123" s="5"/>
      <c r="Y123" s="5"/>
      <c r="Z123" s="5"/>
      <c r="AA123" s="5"/>
      <c r="AB123" s="5"/>
      <c r="AC123" s="5"/>
      <c r="AD123" s="5"/>
      <c r="AE123" s="88">
        <f t="shared" si="46"/>
        <v>1267.98</v>
      </c>
      <c r="AF123" s="75">
        <f t="shared" si="47"/>
        <v>3550.3439999999996</v>
      </c>
      <c r="AG123" s="84">
        <f t="shared" si="48"/>
        <v>15384.823999999999</v>
      </c>
      <c r="AR123" s="91"/>
      <c r="AS123" s="92"/>
      <c r="AT123" s="91"/>
    </row>
    <row r="124" spans="2:46" s="90" customFormat="1" ht="15" customHeight="1">
      <c r="B124" s="107">
        <v>8</v>
      </c>
      <c r="C124" s="5" t="s">
        <v>496</v>
      </c>
      <c r="D124" s="7"/>
      <c r="E124" s="5">
        <v>1</v>
      </c>
      <c r="F124" s="124" t="s">
        <v>458</v>
      </c>
      <c r="G124" s="5">
        <v>2</v>
      </c>
      <c r="H124" s="5">
        <v>2460</v>
      </c>
      <c r="I124" s="5">
        <v>1.2273000000000001</v>
      </c>
      <c r="J124" s="5"/>
      <c r="K124" s="84">
        <f t="shared" si="40"/>
        <v>3019</v>
      </c>
      <c r="L124" s="5"/>
      <c r="M124" s="84">
        <f t="shared" si="41"/>
        <v>0</v>
      </c>
      <c r="N124" s="5"/>
      <c r="O124" s="111">
        <f t="shared" si="42"/>
        <v>0</v>
      </c>
      <c r="P124" s="84">
        <f t="shared" si="43"/>
        <v>3019</v>
      </c>
      <c r="Q124" s="5"/>
      <c r="R124" s="84">
        <f t="shared" si="44"/>
        <v>0</v>
      </c>
      <c r="S124" s="84">
        <f t="shared" si="45"/>
        <v>3019</v>
      </c>
      <c r="T124" s="5">
        <v>12</v>
      </c>
      <c r="U124" s="5">
        <f t="shared" si="49"/>
        <v>362.28</v>
      </c>
      <c r="V124" s="5"/>
      <c r="W124" s="5"/>
      <c r="X124" s="5"/>
      <c r="Y124" s="5"/>
      <c r="Z124" s="5"/>
      <c r="AA124" s="5"/>
      <c r="AB124" s="5"/>
      <c r="AC124" s="5"/>
      <c r="AD124" s="5"/>
      <c r="AE124" s="88">
        <f t="shared" si="46"/>
        <v>362.28</v>
      </c>
      <c r="AF124" s="75">
        <f t="shared" si="47"/>
        <v>1014.3839999999999</v>
      </c>
      <c r="AG124" s="84">
        <f t="shared" si="48"/>
        <v>4395.6639999999998</v>
      </c>
      <c r="AR124" s="91"/>
      <c r="AS124" s="92"/>
      <c r="AT124" s="91"/>
    </row>
    <row r="125" spans="2:46" s="90" customFormat="1" ht="15" customHeight="1">
      <c r="B125" s="107">
        <v>9</v>
      </c>
      <c r="C125" s="5" t="s">
        <v>497</v>
      </c>
      <c r="D125" s="5"/>
      <c r="E125" s="5">
        <v>17</v>
      </c>
      <c r="F125" s="124" t="s">
        <v>458</v>
      </c>
      <c r="G125" s="5">
        <v>1</v>
      </c>
      <c r="H125" s="5">
        <v>2237</v>
      </c>
      <c r="I125" s="5">
        <v>1.05</v>
      </c>
      <c r="J125" s="5"/>
      <c r="K125" s="84">
        <v>2349</v>
      </c>
      <c r="L125" s="5"/>
      <c r="M125" s="84">
        <f t="shared" si="41"/>
        <v>0</v>
      </c>
      <c r="N125" s="5"/>
      <c r="O125" s="111">
        <f t="shared" si="42"/>
        <v>0</v>
      </c>
      <c r="P125" s="84">
        <f t="shared" si="43"/>
        <v>39933</v>
      </c>
      <c r="Q125" s="5"/>
      <c r="R125" s="84">
        <f t="shared" si="44"/>
        <v>0</v>
      </c>
      <c r="S125" s="84">
        <f t="shared" si="45"/>
        <v>39933</v>
      </c>
      <c r="T125" s="5">
        <v>12</v>
      </c>
      <c r="U125" s="5">
        <f t="shared" si="49"/>
        <v>4791.96</v>
      </c>
      <c r="V125" s="112">
        <v>6990.88</v>
      </c>
      <c r="W125" s="5">
        <v>6143.2</v>
      </c>
      <c r="X125" s="5"/>
      <c r="Y125" s="5"/>
      <c r="Z125" s="5"/>
      <c r="AA125" s="5"/>
      <c r="AB125" s="5"/>
      <c r="AC125" s="5"/>
      <c r="AD125" s="5"/>
      <c r="AE125" s="88">
        <f t="shared" si="46"/>
        <v>17926.04</v>
      </c>
      <c r="AF125" s="75">
        <f t="shared" si="47"/>
        <v>17357.712</v>
      </c>
      <c r="AG125" s="84">
        <f t="shared" si="48"/>
        <v>75216.752000000008</v>
      </c>
      <c r="AR125" s="91"/>
      <c r="AS125" s="92"/>
      <c r="AT125" s="91"/>
    </row>
    <row r="126" spans="2:46" s="90" customFormat="1" ht="15" customHeight="1">
      <c r="B126" s="107">
        <v>10</v>
      </c>
      <c r="C126" s="5" t="s">
        <v>498</v>
      </c>
      <c r="D126" s="7"/>
      <c r="E126" s="5">
        <v>11</v>
      </c>
      <c r="F126" s="124" t="s">
        <v>458</v>
      </c>
      <c r="G126" s="5">
        <v>1</v>
      </c>
      <c r="H126" s="5">
        <v>2237</v>
      </c>
      <c r="I126" s="5">
        <v>1.1000000000000001</v>
      </c>
      <c r="J126" s="5"/>
      <c r="K126" s="84">
        <v>2461</v>
      </c>
      <c r="L126" s="5"/>
      <c r="M126" s="84">
        <f t="shared" si="41"/>
        <v>0</v>
      </c>
      <c r="N126" s="5"/>
      <c r="O126" s="111">
        <f t="shared" si="42"/>
        <v>0</v>
      </c>
      <c r="P126" s="84">
        <f t="shared" si="43"/>
        <v>27071</v>
      </c>
      <c r="Q126" s="5"/>
      <c r="R126" s="84">
        <f t="shared" si="44"/>
        <v>0</v>
      </c>
      <c r="S126" s="84">
        <f t="shared" si="45"/>
        <v>27071</v>
      </c>
      <c r="T126" s="5">
        <v>12</v>
      </c>
      <c r="U126" s="5">
        <f t="shared" si="49"/>
        <v>3248.52</v>
      </c>
      <c r="V126" s="5"/>
      <c r="W126" s="5"/>
      <c r="X126" s="5"/>
      <c r="Y126" s="5"/>
      <c r="Z126" s="5"/>
      <c r="AA126" s="5"/>
      <c r="AB126" s="5"/>
      <c r="AC126" s="5"/>
      <c r="AD126" s="5"/>
      <c r="AE126" s="88">
        <f t="shared" si="46"/>
        <v>3248.52</v>
      </c>
      <c r="AF126" s="75">
        <f t="shared" si="47"/>
        <v>9095.8559999999998</v>
      </c>
      <c r="AG126" s="84">
        <f t="shared" si="48"/>
        <v>39415.376000000004</v>
      </c>
      <c r="AR126" s="91"/>
      <c r="AS126" s="92"/>
      <c r="AT126" s="91"/>
    </row>
    <row r="127" spans="2:46" s="90" customFormat="1" ht="15" customHeight="1">
      <c r="B127" s="107">
        <v>11</v>
      </c>
      <c r="C127" s="5" t="s">
        <v>499</v>
      </c>
      <c r="D127" s="7"/>
      <c r="E127" s="5">
        <v>3</v>
      </c>
      <c r="F127" s="124" t="s">
        <v>458</v>
      </c>
      <c r="G127" s="5">
        <v>1</v>
      </c>
      <c r="H127" s="5">
        <v>2237</v>
      </c>
      <c r="I127" s="5">
        <v>1.1000000000000001</v>
      </c>
      <c r="J127" s="5"/>
      <c r="K127" s="84">
        <v>2461</v>
      </c>
      <c r="L127" s="5"/>
      <c r="M127" s="84">
        <f t="shared" si="41"/>
        <v>0</v>
      </c>
      <c r="N127" s="5"/>
      <c r="O127" s="111">
        <f t="shared" si="42"/>
        <v>0</v>
      </c>
      <c r="P127" s="84">
        <f t="shared" si="43"/>
        <v>7383</v>
      </c>
      <c r="Q127" s="5"/>
      <c r="R127" s="84">
        <f t="shared" si="44"/>
        <v>0</v>
      </c>
      <c r="S127" s="84">
        <f t="shared" si="45"/>
        <v>7383</v>
      </c>
      <c r="T127" s="5">
        <v>12</v>
      </c>
      <c r="U127" s="5">
        <f t="shared" si="49"/>
        <v>885.96</v>
      </c>
      <c r="V127" s="5"/>
      <c r="W127" s="5"/>
      <c r="X127" s="5"/>
      <c r="Y127" s="5"/>
      <c r="Z127" s="5"/>
      <c r="AA127" s="5"/>
      <c r="AB127" s="5"/>
      <c r="AC127" s="5"/>
      <c r="AD127" s="5"/>
      <c r="AE127" s="88">
        <f t="shared" si="46"/>
        <v>885.96</v>
      </c>
      <c r="AF127" s="75">
        <f t="shared" si="47"/>
        <v>2480.6879999999996</v>
      </c>
      <c r="AG127" s="84">
        <f t="shared" si="48"/>
        <v>10749.647999999999</v>
      </c>
      <c r="AR127" s="91"/>
      <c r="AS127" s="92"/>
      <c r="AT127" s="91"/>
    </row>
    <row r="128" spans="2:46" s="90" customFormat="1" ht="15" customHeight="1">
      <c r="B128" s="107">
        <v>12</v>
      </c>
      <c r="C128" s="5" t="s">
        <v>500</v>
      </c>
      <c r="D128" s="5"/>
      <c r="E128" s="5">
        <v>3</v>
      </c>
      <c r="F128" s="124" t="s">
        <v>458</v>
      </c>
      <c r="G128" s="5">
        <v>2</v>
      </c>
      <c r="H128" s="5">
        <v>2460</v>
      </c>
      <c r="I128" s="5">
        <v>1.2273000000000001</v>
      </c>
      <c r="J128" s="5"/>
      <c r="K128" s="84">
        <f t="shared" si="40"/>
        <v>3019</v>
      </c>
      <c r="L128" s="5"/>
      <c r="M128" s="84">
        <f t="shared" si="41"/>
        <v>0</v>
      </c>
      <c r="N128" s="5"/>
      <c r="O128" s="111">
        <f t="shared" si="42"/>
        <v>0</v>
      </c>
      <c r="P128" s="84">
        <f t="shared" si="43"/>
        <v>9057</v>
      </c>
      <c r="Q128" s="5"/>
      <c r="R128" s="84">
        <f t="shared" si="44"/>
        <v>0</v>
      </c>
      <c r="S128" s="84">
        <f t="shared" si="45"/>
        <v>9057</v>
      </c>
      <c r="T128" s="5">
        <v>12</v>
      </c>
      <c r="U128" s="5">
        <f t="shared" si="49"/>
        <v>1086.8399999999999</v>
      </c>
      <c r="V128" s="5"/>
      <c r="W128" s="5"/>
      <c r="X128" s="5"/>
      <c r="Y128" s="5"/>
      <c r="Z128" s="5"/>
      <c r="AA128" s="5"/>
      <c r="AB128" s="5"/>
      <c r="AC128" s="5"/>
      <c r="AD128" s="5"/>
      <c r="AE128" s="88">
        <f t="shared" si="46"/>
        <v>1086.8399999999999</v>
      </c>
      <c r="AF128" s="75">
        <f t="shared" si="47"/>
        <v>3043.152</v>
      </c>
      <c r="AG128" s="84">
        <f t="shared" si="48"/>
        <v>13186.992</v>
      </c>
      <c r="AR128" s="91"/>
      <c r="AS128" s="92"/>
      <c r="AT128" s="91"/>
    </row>
    <row r="129" spans="2:46" s="90" customFormat="1" ht="15" customHeight="1">
      <c r="B129" s="107">
        <v>13</v>
      </c>
      <c r="C129" s="5" t="s">
        <v>501</v>
      </c>
      <c r="D129" s="5"/>
      <c r="E129" s="5">
        <v>1.5</v>
      </c>
      <c r="F129" s="124" t="s">
        <v>458</v>
      </c>
      <c r="G129" s="5">
        <v>1</v>
      </c>
      <c r="H129" s="5">
        <v>2237</v>
      </c>
      <c r="I129" s="5">
        <v>1.05</v>
      </c>
      <c r="J129" s="5"/>
      <c r="K129" s="84">
        <v>2349</v>
      </c>
      <c r="L129" s="5"/>
      <c r="M129" s="84">
        <f>L129*K129</f>
        <v>0</v>
      </c>
      <c r="N129" s="5"/>
      <c r="O129" s="111">
        <f>N129*K129</f>
        <v>0</v>
      </c>
      <c r="P129" s="84">
        <f t="shared" si="43"/>
        <v>3523.5</v>
      </c>
      <c r="Q129" s="5"/>
      <c r="R129" s="84">
        <f t="shared" si="44"/>
        <v>0</v>
      </c>
      <c r="S129" s="84">
        <f t="shared" si="45"/>
        <v>3523.5</v>
      </c>
      <c r="T129" s="5">
        <v>4</v>
      </c>
      <c r="U129" s="5">
        <f t="shared" si="49"/>
        <v>140.94</v>
      </c>
      <c r="V129" s="5"/>
      <c r="W129" s="5"/>
      <c r="X129" s="5"/>
      <c r="Y129" s="5"/>
      <c r="Z129" s="5"/>
      <c r="AA129" s="5"/>
      <c r="AB129" s="5"/>
      <c r="AC129" s="5"/>
      <c r="AD129" s="5"/>
      <c r="AE129" s="88">
        <f>U129+V129+W129+Y129+AA129+AC129+AD129</f>
        <v>140.94</v>
      </c>
      <c r="AF129" s="75">
        <f>(S129+AE129)*0.3</f>
        <v>1099.3319999999999</v>
      </c>
      <c r="AG129" s="84">
        <f t="shared" si="48"/>
        <v>4763.7719999999999</v>
      </c>
      <c r="AR129" s="91"/>
      <c r="AS129" s="92"/>
      <c r="AT129" s="91"/>
    </row>
    <row r="130" spans="2:46" s="90" customFormat="1" ht="15" customHeight="1">
      <c r="B130" s="107">
        <v>14</v>
      </c>
      <c r="C130" s="5" t="s">
        <v>502</v>
      </c>
      <c r="D130" s="5"/>
      <c r="E130" s="5">
        <v>2</v>
      </c>
      <c r="F130" s="124" t="s">
        <v>458</v>
      </c>
      <c r="G130" s="5">
        <v>1</v>
      </c>
      <c r="H130" s="5">
        <v>2237</v>
      </c>
      <c r="I130" s="5">
        <v>1.05</v>
      </c>
      <c r="J130" s="5"/>
      <c r="K130" s="84">
        <v>2349</v>
      </c>
      <c r="L130" s="5"/>
      <c r="M130" s="84">
        <f>L130*K130</f>
        <v>0</v>
      </c>
      <c r="N130" s="5"/>
      <c r="O130" s="111">
        <f>N130*K130</f>
        <v>0</v>
      </c>
      <c r="P130" s="84">
        <f t="shared" si="43"/>
        <v>4698</v>
      </c>
      <c r="Q130" s="5"/>
      <c r="R130" s="84">
        <f t="shared" si="44"/>
        <v>0</v>
      </c>
      <c r="S130" s="84">
        <f t="shared" si="45"/>
        <v>4698</v>
      </c>
      <c r="T130" s="5">
        <v>12</v>
      </c>
      <c r="U130" s="5">
        <f t="shared" si="49"/>
        <v>563.76</v>
      </c>
      <c r="V130" s="5"/>
      <c r="W130" s="5"/>
      <c r="X130" s="5"/>
      <c r="Y130" s="5"/>
      <c r="Z130" s="5"/>
      <c r="AA130" s="5"/>
      <c r="AB130" s="5"/>
      <c r="AC130" s="5"/>
      <c r="AD130" s="5"/>
      <c r="AE130" s="88">
        <f>U130+V130+W130+Y130+AA130+AC130+AD130</f>
        <v>563.76</v>
      </c>
      <c r="AF130" s="75">
        <f>(S130+AE130)*0.3</f>
        <v>1578.528</v>
      </c>
      <c r="AG130" s="84">
        <f t="shared" si="48"/>
        <v>6840.2880000000005</v>
      </c>
      <c r="AR130" s="91"/>
      <c r="AS130" s="92"/>
      <c r="AT130" s="91"/>
    </row>
    <row r="131" spans="2:46" s="90" customFormat="1" ht="15" customHeight="1">
      <c r="B131" s="107"/>
      <c r="C131" s="5"/>
      <c r="D131" s="5"/>
      <c r="E131" s="5"/>
      <c r="F131" s="124"/>
      <c r="G131" s="5"/>
      <c r="H131" s="5"/>
      <c r="I131" s="5"/>
      <c r="J131" s="5"/>
      <c r="K131" s="84">
        <v>2349</v>
      </c>
      <c r="L131" s="5"/>
      <c r="M131" s="84"/>
      <c r="N131" s="5"/>
      <c r="O131" s="111"/>
      <c r="P131" s="84">
        <f t="shared" si="43"/>
        <v>0</v>
      </c>
      <c r="Q131" s="5"/>
      <c r="R131" s="84">
        <f t="shared" si="44"/>
        <v>0</v>
      </c>
      <c r="S131" s="84">
        <f t="shared" si="45"/>
        <v>0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88"/>
      <c r="AF131" s="140"/>
      <c r="AG131" s="137"/>
      <c r="AR131" s="91"/>
      <c r="AS131" s="92"/>
      <c r="AT131" s="91"/>
    </row>
    <row r="132" spans="2:46" s="90" customFormat="1" ht="15" customHeight="1">
      <c r="B132" s="107"/>
      <c r="C132" s="5"/>
      <c r="D132" s="5"/>
      <c r="E132" s="5"/>
      <c r="F132" s="124"/>
      <c r="G132" s="5"/>
      <c r="H132" s="5"/>
      <c r="I132" s="5"/>
      <c r="J132" s="5"/>
      <c r="K132" s="84">
        <v>2349</v>
      </c>
      <c r="L132" s="5"/>
      <c r="M132" s="84"/>
      <c r="N132" s="5"/>
      <c r="O132" s="111"/>
      <c r="P132" s="84">
        <f t="shared" si="43"/>
        <v>0</v>
      </c>
      <c r="Q132" s="5"/>
      <c r="R132" s="84">
        <f t="shared" si="44"/>
        <v>0</v>
      </c>
      <c r="S132" s="84">
        <f t="shared" si="45"/>
        <v>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88"/>
      <c r="AF132" s="140"/>
      <c r="AG132" s="137"/>
      <c r="AR132" s="91"/>
      <c r="AS132" s="92"/>
      <c r="AT132" s="91"/>
    </row>
    <row r="133" spans="2:46" s="90" customFormat="1" ht="15" customHeight="1">
      <c r="B133" s="107"/>
      <c r="C133" s="5"/>
      <c r="D133" s="5"/>
      <c r="E133" s="5"/>
      <c r="F133" s="124"/>
      <c r="G133" s="5"/>
      <c r="H133" s="5"/>
      <c r="I133" s="5"/>
      <c r="J133" s="5"/>
      <c r="K133" s="84">
        <v>2349</v>
      </c>
      <c r="L133" s="5"/>
      <c r="M133" s="84"/>
      <c r="N133" s="5"/>
      <c r="O133" s="111"/>
      <c r="P133" s="84">
        <f t="shared" si="43"/>
        <v>0</v>
      </c>
      <c r="Q133" s="5"/>
      <c r="R133" s="84">
        <f t="shared" si="44"/>
        <v>0</v>
      </c>
      <c r="S133" s="84">
        <f t="shared" si="45"/>
        <v>0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88"/>
      <c r="AF133" s="140"/>
      <c r="AG133" s="137"/>
      <c r="AR133" s="91"/>
      <c r="AS133" s="92"/>
      <c r="AT133" s="91"/>
    </row>
    <row r="134" spans="2:46" s="90" customFormat="1" ht="15" customHeight="1">
      <c r="B134" s="107"/>
      <c r="C134" s="5"/>
      <c r="D134" s="5"/>
      <c r="E134" s="5"/>
      <c r="F134" s="124"/>
      <c r="G134" s="5"/>
      <c r="H134" s="5"/>
      <c r="I134" s="5"/>
      <c r="J134" s="5"/>
      <c r="K134" s="84">
        <v>2349</v>
      </c>
      <c r="L134" s="5"/>
      <c r="M134" s="84"/>
      <c r="N134" s="5"/>
      <c r="O134" s="111"/>
      <c r="P134" s="84">
        <f t="shared" si="43"/>
        <v>0</v>
      </c>
      <c r="Q134" s="5"/>
      <c r="R134" s="84">
        <f t="shared" si="44"/>
        <v>0</v>
      </c>
      <c r="S134" s="84">
        <f t="shared" si="45"/>
        <v>0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88"/>
      <c r="AF134" s="140"/>
      <c r="AG134" s="137"/>
      <c r="AR134" s="91"/>
      <c r="AS134" s="92"/>
      <c r="AT134" s="91"/>
    </row>
    <row r="135" spans="2:46" s="90" customFormat="1" ht="15" customHeight="1">
      <c r="B135" s="107"/>
      <c r="C135" s="5"/>
      <c r="D135" s="5"/>
      <c r="E135" s="5"/>
      <c r="F135" s="124"/>
      <c r="G135" s="5"/>
      <c r="H135" s="5"/>
      <c r="I135" s="5"/>
      <c r="J135" s="5"/>
      <c r="K135" s="84">
        <v>2349</v>
      </c>
      <c r="L135" s="5"/>
      <c r="M135" s="84"/>
      <c r="N135" s="5"/>
      <c r="O135" s="111"/>
      <c r="P135" s="84">
        <f t="shared" si="43"/>
        <v>0</v>
      </c>
      <c r="Q135" s="5"/>
      <c r="R135" s="84">
        <f t="shared" si="44"/>
        <v>0</v>
      </c>
      <c r="S135" s="84">
        <f t="shared" si="45"/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88"/>
      <c r="AF135" s="140"/>
      <c r="AG135" s="137"/>
      <c r="AR135" s="91"/>
      <c r="AS135" s="92"/>
      <c r="AT135" s="91"/>
    </row>
    <row r="136" spans="2:46" s="90" customFormat="1" ht="15" customHeight="1">
      <c r="B136" s="107"/>
      <c r="C136" s="5"/>
      <c r="D136" s="5"/>
      <c r="E136" s="5"/>
      <c r="F136" s="124"/>
      <c r="G136" s="5"/>
      <c r="H136" s="5"/>
      <c r="I136" s="5"/>
      <c r="J136" s="5"/>
      <c r="K136" s="84">
        <v>2349</v>
      </c>
      <c r="L136" s="5"/>
      <c r="M136" s="84"/>
      <c r="N136" s="5"/>
      <c r="O136" s="111"/>
      <c r="P136" s="84">
        <f t="shared" si="43"/>
        <v>0</v>
      </c>
      <c r="Q136" s="5"/>
      <c r="R136" s="84">
        <f t="shared" si="44"/>
        <v>0</v>
      </c>
      <c r="S136" s="84">
        <f t="shared" si="45"/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88"/>
      <c r="AF136" s="140"/>
      <c r="AG136" s="137"/>
      <c r="AR136" s="91"/>
      <c r="AS136" s="92"/>
      <c r="AT136" s="91"/>
    </row>
    <row r="137" spans="2:46" s="90" customFormat="1" ht="15" customHeight="1">
      <c r="B137" s="107"/>
      <c r="C137" s="5"/>
      <c r="D137" s="5"/>
      <c r="E137" s="5"/>
      <c r="F137" s="124"/>
      <c r="G137" s="5"/>
      <c r="H137" s="5"/>
      <c r="I137" s="5"/>
      <c r="J137" s="5"/>
      <c r="K137" s="84">
        <v>2349</v>
      </c>
      <c r="L137" s="5"/>
      <c r="M137" s="84"/>
      <c r="N137" s="5"/>
      <c r="O137" s="111"/>
      <c r="P137" s="84">
        <f t="shared" si="43"/>
        <v>0</v>
      </c>
      <c r="Q137" s="5"/>
      <c r="R137" s="84">
        <f t="shared" si="44"/>
        <v>0</v>
      </c>
      <c r="S137" s="84">
        <f t="shared" si="45"/>
        <v>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88"/>
      <c r="AF137" s="140"/>
      <c r="AG137" s="137"/>
      <c r="AR137" s="91"/>
      <c r="AS137" s="92"/>
      <c r="AT137" s="91"/>
    </row>
    <row r="138" spans="2:46" s="90" customFormat="1" ht="15" customHeight="1">
      <c r="B138" s="107"/>
      <c r="C138" s="5"/>
      <c r="D138" s="5"/>
      <c r="E138" s="5"/>
      <c r="F138" s="124"/>
      <c r="G138" s="5"/>
      <c r="H138" s="5"/>
      <c r="I138" s="5"/>
      <c r="J138" s="5"/>
      <c r="K138" s="84">
        <v>2349</v>
      </c>
      <c r="L138" s="5"/>
      <c r="M138" s="84"/>
      <c r="N138" s="5"/>
      <c r="O138" s="111"/>
      <c r="P138" s="84">
        <f t="shared" si="43"/>
        <v>0</v>
      </c>
      <c r="Q138" s="5"/>
      <c r="R138" s="84">
        <f t="shared" si="44"/>
        <v>0</v>
      </c>
      <c r="S138" s="84">
        <f t="shared" si="45"/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88"/>
      <c r="AF138" s="140"/>
      <c r="AG138" s="137"/>
      <c r="AR138" s="91"/>
      <c r="AS138" s="92"/>
      <c r="AT138" s="91"/>
    </row>
    <row r="139" spans="2:46" s="90" customFormat="1" ht="15" customHeight="1">
      <c r="B139" s="107"/>
      <c r="C139" s="5"/>
      <c r="D139" s="5"/>
      <c r="E139" s="5"/>
      <c r="F139" s="124"/>
      <c r="G139" s="5"/>
      <c r="H139" s="5"/>
      <c r="I139" s="5"/>
      <c r="J139" s="5"/>
      <c r="K139" s="84">
        <v>2349</v>
      </c>
      <c r="L139" s="5"/>
      <c r="M139" s="84"/>
      <c r="N139" s="5"/>
      <c r="O139" s="111"/>
      <c r="P139" s="84">
        <f t="shared" si="43"/>
        <v>0</v>
      </c>
      <c r="Q139" s="5"/>
      <c r="R139" s="84">
        <f t="shared" si="44"/>
        <v>0</v>
      </c>
      <c r="S139" s="84">
        <f t="shared" si="45"/>
        <v>0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88"/>
      <c r="AF139" s="140"/>
      <c r="AG139" s="137"/>
      <c r="AR139" s="91"/>
      <c r="AS139" s="92"/>
      <c r="AT139" s="91"/>
    </row>
    <row r="140" spans="2:46" s="90" customFormat="1" ht="15" customHeight="1">
      <c r="B140" s="107"/>
      <c r="C140" s="5"/>
      <c r="D140" s="5"/>
      <c r="E140" s="5"/>
      <c r="F140" s="124"/>
      <c r="G140" s="5"/>
      <c r="H140" s="5"/>
      <c r="I140" s="5"/>
      <c r="J140" s="5"/>
      <c r="K140" s="84">
        <v>2349</v>
      </c>
      <c r="L140" s="5"/>
      <c r="M140" s="84"/>
      <c r="N140" s="5"/>
      <c r="O140" s="111"/>
      <c r="P140" s="84">
        <f t="shared" si="43"/>
        <v>0</v>
      </c>
      <c r="Q140" s="5"/>
      <c r="R140" s="84">
        <f t="shared" si="44"/>
        <v>0</v>
      </c>
      <c r="S140" s="84">
        <f t="shared" si="45"/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88"/>
      <c r="AF140" s="140"/>
      <c r="AG140" s="137"/>
      <c r="AR140" s="91"/>
      <c r="AS140" s="92"/>
      <c r="AT140" s="91"/>
    </row>
    <row r="141" spans="2:46" s="90" customFormat="1" ht="15" customHeight="1">
      <c r="B141" s="107"/>
      <c r="C141" s="5"/>
      <c r="D141" s="5"/>
      <c r="E141" s="5"/>
      <c r="F141" s="124"/>
      <c r="G141" s="5"/>
      <c r="H141" s="5"/>
      <c r="I141" s="5"/>
      <c r="J141" s="5"/>
      <c r="K141" s="84">
        <v>2349</v>
      </c>
      <c r="L141" s="5"/>
      <c r="M141" s="84"/>
      <c r="N141" s="5"/>
      <c r="O141" s="111"/>
      <c r="P141" s="84">
        <f t="shared" si="43"/>
        <v>0</v>
      </c>
      <c r="Q141" s="5"/>
      <c r="R141" s="84">
        <f t="shared" si="44"/>
        <v>0</v>
      </c>
      <c r="S141" s="84">
        <f t="shared" si="45"/>
        <v>0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88"/>
      <c r="AF141" s="140"/>
      <c r="AG141" s="137"/>
      <c r="AR141" s="91"/>
      <c r="AS141" s="92"/>
      <c r="AT141" s="91"/>
    </row>
    <row r="142" spans="2:46" s="90" customFormat="1" ht="15" customHeight="1">
      <c r="B142" s="107"/>
      <c r="C142" s="5"/>
      <c r="D142" s="5"/>
      <c r="E142" s="5"/>
      <c r="F142" s="124"/>
      <c r="G142" s="5"/>
      <c r="H142" s="5"/>
      <c r="I142" s="5"/>
      <c r="J142" s="5"/>
      <c r="K142" s="84">
        <v>2349</v>
      </c>
      <c r="L142" s="5"/>
      <c r="M142" s="84"/>
      <c r="N142" s="5"/>
      <c r="O142" s="111"/>
      <c r="P142" s="84">
        <f t="shared" si="43"/>
        <v>0</v>
      </c>
      <c r="Q142" s="5"/>
      <c r="R142" s="84">
        <f t="shared" si="44"/>
        <v>0</v>
      </c>
      <c r="S142" s="84">
        <f t="shared" si="45"/>
        <v>0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88"/>
      <c r="AF142" s="140"/>
      <c r="AG142" s="137"/>
      <c r="AR142" s="91"/>
      <c r="AS142" s="92"/>
      <c r="AT142" s="91"/>
    </row>
    <row r="143" spans="2:46" s="90" customFormat="1" ht="15" customHeight="1">
      <c r="B143" s="107">
        <v>15</v>
      </c>
      <c r="C143" s="5" t="s">
        <v>503</v>
      </c>
      <c r="D143" s="5"/>
      <c r="E143" s="5">
        <v>2</v>
      </c>
      <c r="F143" s="124" t="s">
        <v>458</v>
      </c>
      <c r="G143" s="5">
        <v>1</v>
      </c>
      <c r="H143" s="5">
        <v>2237</v>
      </c>
      <c r="I143" s="5">
        <v>1.05</v>
      </c>
      <c r="J143" s="5"/>
      <c r="K143" s="84">
        <v>2349</v>
      </c>
      <c r="L143" s="5"/>
      <c r="M143" s="84">
        <f>L143*K143</f>
        <v>0</v>
      </c>
      <c r="N143" s="5"/>
      <c r="O143" s="111">
        <f>N143*K143</f>
        <v>0</v>
      </c>
      <c r="P143" s="84">
        <f t="shared" si="43"/>
        <v>4698</v>
      </c>
      <c r="Q143" s="5"/>
      <c r="R143" s="84">
        <f t="shared" si="44"/>
        <v>0</v>
      </c>
      <c r="S143" s="84">
        <f t="shared" si="45"/>
        <v>4698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88">
        <f>U143+V143+W143+Y143+AA143+AC143+AD143</f>
        <v>0</v>
      </c>
      <c r="AF143" s="140">
        <f>(S143+AE143)*0.3</f>
        <v>1409.3999999999999</v>
      </c>
      <c r="AG143" s="137">
        <f t="shared" si="48"/>
        <v>6107.4</v>
      </c>
      <c r="AR143" s="91"/>
      <c r="AS143" s="92"/>
      <c r="AT143" s="91"/>
    </row>
    <row r="144" spans="2:46" ht="15" thickBot="1">
      <c r="B144" s="98"/>
      <c r="C144" s="99" t="s">
        <v>240</v>
      </c>
      <c r="D144" s="99"/>
      <c r="E144" s="99">
        <f>SUM(E117:E143)</f>
        <v>57.5</v>
      </c>
      <c r="F144" s="100"/>
      <c r="G144" s="100"/>
      <c r="H144" s="100"/>
      <c r="I144" s="100"/>
      <c r="J144" s="100"/>
      <c r="K144" s="101">
        <f>SUM(K117:K143)</f>
        <v>71690</v>
      </c>
      <c r="L144" s="100"/>
      <c r="M144" s="101">
        <f>SUM(M117:M143)</f>
        <v>0</v>
      </c>
      <c r="N144" s="100"/>
      <c r="O144" s="101">
        <f>SUM(O117:O143)</f>
        <v>0</v>
      </c>
      <c r="P144" s="101">
        <f>SUM(P117:P143)</f>
        <v>155738</v>
      </c>
      <c r="Q144" s="100"/>
      <c r="R144" s="101">
        <f>SUM(R117:R143)</f>
        <v>0</v>
      </c>
      <c r="S144" s="101">
        <f>SUM(S117:S143)</f>
        <v>155738</v>
      </c>
      <c r="T144" s="100"/>
      <c r="U144" s="101">
        <f>SUM(U117:U143)</f>
        <v>14944.64</v>
      </c>
      <c r="V144" s="101">
        <f>SUM(V117:V143)</f>
        <v>6990.88</v>
      </c>
      <c r="W144" s="101">
        <f>SUM(W117:W143)</f>
        <v>6143.2</v>
      </c>
      <c r="X144" s="100"/>
      <c r="Y144" s="101">
        <f>SUM(Y117:Y143)</f>
        <v>0</v>
      </c>
      <c r="Z144" s="100"/>
      <c r="AA144" s="101">
        <f>SUM(AA117:AA143)</f>
        <v>0</v>
      </c>
      <c r="AB144" s="100"/>
      <c r="AC144" s="101">
        <f>SUM(AC117:AC143)</f>
        <v>0</v>
      </c>
      <c r="AD144" s="101">
        <f>SUM(AD117:AD143)</f>
        <v>3321</v>
      </c>
      <c r="AE144" s="101">
        <f>SUM(AE117:AE143)</f>
        <v>31399.719999999998</v>
      </c>
      <c r="AF144" s="101">
        <f>SUM(AF117:AF143)</f>
        <v>56141.316000000006</v>
      </c>
      <c r="AG144" s="101">
        <f>SUM(AG117:AG143)</f>
        <v>243279.03599999996</v>
      </c>
    </row>
    <row r="145" spans="2:47" ht="21" customHeight="1" thickBot="1">
      <c r="B145" s="98"/>
      <c r="C145" s="99" t="s">
        <v>504</v>
      </c>
      <c r="D145" s="99"/>
      <c r="E145" s="142" t="e">
        <f>admi+pedi+иии+auxi+stai</f>
        <v>#REF!</v>
      </c>
      <c r="F145" s="100"/>
      <c r="G145" s="100"/>
      <c r="H145" s="100"/>
      <c r="I145" s="100"/>
      <c r="J145" s="100"/>
      <c r="K145" s="143">
        <f>K34+K70+K82+K115+K144</f>
        <v>496755</v>
      </c>
      <c r="L145" s="144"/>
      <c r="M145" s="143">
        <f>M34+M70+M82+M115+M144</f>
        <v>3441.2</v>
      </c>
      <c r="N145" s="145"/>
      <c r="O145" s="143">
        <f>O34+O70+O82+O115+O144</f>
        <v>2905.5</v>
      </c>
      <c r="P145" s="143">
        <f>P34+P70+P82+P115+P144</f>
        <v>1300460.6749999998</v>
      </c>
      <c r="Q145" s="100"/>
      <c r="R145" s="143">
        <f>R34+R70+R82+R115+R144</f>
        <v>0</v>
      </c>
      <c r="S145" s="143">
        <f>S34+S70+S82+S115+S144</f>
        <v>1300460.6749999998</v>
      </c>
      <c r="T145" s="100"/>
      <c r="U145" s="143">
        <f>U34+U70+U82+U115+U144</f>
        <v>31576.560000000001</v>
      </c>
      <c r="V145" s="143">
        <f>V34+V70+V82+V115+V144</f>
        <v>6990.88</v>
      </c>
      <c r="W145" s="143">
        <f>W34+W70+W82+W115+W144</f>
        <v>6143.2</v>
      </c>
      <c r="X145" s="100"/>
      <c r="Y145" s="143">
        <f>Y34+Y70+Y82+Y115+Y144</f>
        <v>30874.59</v>
      </c>
      <c r="Z145" s="100"/>
      <c r="AA145" s="143">
        <f>AA34+AA70+AA82+AA115+AA144</f>
        <v>56329.25</v>
      </c>
      <c r="AB145" s="100"/>
      <c r="AC145" s="143">
        <f>AC34+AC70+AC82+AC115+AC144</f>
        <v>17580.63</v>
      </c>
      <c r="AD145" s="143">
        <f>AD34+AD70+AD82+AD115+AD144</f>
        <v>12182.4</v>
      </c>
      <c r="AE145" s="143">
        <f>AE34+AE70+AE82+AE115+AE144</f>
        <v>161677.51</v>
      </c>
      <c r="AF145" s="143">
        <f>AF34+AF70+AF82+AF115+AF144</f>
        <v>438641.45549999998</v>
      </c>
      <c r="AG145" s="143">
        <f>AG34+AG70+AG82+AG115+AG144</f>
        <v>1900779.6405000002</v>
      </c>
    </row>
    <row r="146" spans="2:47" ht="21" customHeight="1">
      <c r="B146" s="146"/>
      <c r="D146" s="147" t="s">
        <v>505</v>
      </c>
      <c r="G146" s="148" t="s">
        <v>506</v>
      </c>
      <c r="J146" s="146"/>
      <c r="K146" s="149"/>
      <c r="L146" s="146"/>
      <c r="M146" s="149"/>
      <c r="N146" s="146"/>
      <c r="O146" s="149"/>
      <c r="P146" s="149"/>
      <c r="Q146" s="146"/>
      <c r="R146" s="149"/>
      <c r="S146" s="149"/>
      <c r="T146" s="146"/>
      <c r="U146" s="149"/>
      <c r="V146" s="149"/>
      <c r="W146" s="149"/>
      <c r="X146" s="146"/>
      <c r="Y146" s="149"/>
      <c r="Z146" s="146"/>
      <c r="AA146" s="149"/>
      <c r="AB146" s="146"/>
      <c r="AC146" s="149"/>
      <c r="AD146" s="149"/>
      <c r="AE146" s="149"/>
      <c r="AF146" s="149"/>
      <c r="AG146" s="149"/>
    </row>
    <row r="147" spans="2:47" ht="21" customHeight="1">
      <c r="B147" s="146"/>
      <c r="C147" s="150"/>
      <c r="D147" s="151"/>
      <c r="E147" s="152" t="s">
        <v>507</v>
      </c>
      <c r="F147" s="152" t="s">
        <v>508</v>
      </c>
      <c r="G147" s="153" t="s">
        <v>507</v>
      </c>
      <c r="H147" s="153" t="s">
        <v>508</v>
      </c>
      <c r="I147" s="154"/>
      <c r="J147" s="146"/>
      <c r="K147" s="149"/>
      <c r="L147" s="146"/>
      <c r="M147" s="149"/>
      <c r="N147" s="146"/>
      <c r="O147" s="149"/>
      <c r="P147" s="149"/>
      <c r="Q147" s="146"/>
      <c r="R147" s="149"/>
      <c r="S147" s="149"/>
      <c r="T147" s="146"/>
      <c r="U147" s="149"/>
      <c r="V147" s="149"/>
      <c r="W147" s="149"/>
      <c r="X147" s="146"/>
      <c r="Y147" s="149"/>
      <c r="Z147" s="146"/>
      <c r="AA147" s="149"/>
      <c r="AB147" s="146"/>
      <c r="AC147" s="149"/>
      <c r="AD147" s="149"/>
      <c r="AE147" s="149"/>
      <c r="AF147" s="149"/>
      <c r="AG147" s="149"/>
    </row>
    <row r="148" spans="2:47" ht="21" customHeight="1">
      <c r="B148" s="146"/>
      <c r="C148" s="155" t="s">
        <v>509</v>
      </c>
      <c r="D148" s="156"/>
      <c r="E148" s="157">
        <v>17.77</v>
      </c>
      <c r="F148" s="156"/>
      <c r="G148" s="156"/>
      <c r="H148" s="156"/>
      <c r="I148" s="156"/>
      <c r="J148" s="146"/>
      <c r="K148" s="158"/>
      <c r="L148" s="146"/>
      <c r="M148" s="158"/>
      <c r="N148" s="146"/>
      <c r="O148" s="146"/>
      <c r="P148" s="158"/>
      <c r="Q148" s="146"/>
      <c r="R148" s="146"/>
      <c r="S148" s="158"/>
      <c r="T148" s="146"/>
      <c r="U148" s="146"/>
      <c r="V148" s="158"/>
      <c r="W148" s="146"/>
      <c r="X148" s="146"/>
      <c r="Y148" s="158"/>
      <c r="Z148" s="146"/>
      <c r="AA148" s="158"/>
      <c r="AB148" s="146"/>
      <c r="AC148" s="158"/>
      <c r="AD148" s="158"/>
      <c r="AE148" s="158"/>
      <c r="AF148" s="158"/>
      <c r="AG148" s="158"/>
    </row>
    <row r="149" spans="2:47" ht="42" customHeight="1">
      <c r="B149" s="146"/>
      <c r="C149" s="159" t="str">
        <f>E3</f>
        <v>всего приведенный контингент для Производительности труда</v>
      </c>
      <c r="D149" s="159" t="s">
        <v>406</v>
      </c>
      <c r="E149" s="152">
        <f>I3</f>
        <v>1166</v>
      </c>
      <c r="F149" s="152"/>
      <c r="G149" s="153">
        <f>E149</f>
        <v>1166</v>
      </c>
      <c r="H149" s="153"/>
      <c r="I149" s="153"/>
      <c r="K149" s="158"/>
      <c r="L149" s="146"/>
      <c r="M149" s="158"/>
      <c r="N149" s="146"/>
      <c r="O149" s="146"/>
      <c r="P149" s="158"/>
      <c r="Q149" s="146"/>
      <c r="R149" s="146"/>
      <c r="S149" s="158"/>
      <c r="T149" s="146"/>
      <c r="U149" s="146"/>
      <c r="V149" s="158"/>
      <c r="W149" s="146"/>
      <c r="X149" s="146"/>
      <c r="Y149" s="158"/>
      <c r="Z149" s="146"/>
      <c r="AA149" s="158"/>
      <c r="AB149" s="146"/>
      <c r="AC149" s="158"/>
      <c r="AD149" s="158"/>
      <c r="AE149" s="158"/>
      <c r="AF149" s="158"/>
      <c r="AG149" s="158"/>
    </row>
    <row r="150" spans="2:47" ht="45.75" customHeight="1">
      <c r="B150" s="146"/>
      <c r="C150" s="159" t="s">
        <v>510</v>
      </c>
      <c r="D150" s="159" t="s">
        <v>511</v>
      </c>
      <c r="E150" s="160">
        <f>I3/H3*100</f>
        <v>104.20017873100984</v>
      </c>
      <c r="F150" s="152"/>
      <c r="G150" s="161">
        <f>E150</f>
        <v>104.20017873100984</v>
      </c>
      <c r="H150" s="153"/>
      <c r="I150" s="153"/>
      <c r="J150" s="146"/>
      <c r="K150" s="158"/>
      <c r="L150" s="146"/>
      <c r="M150" s="158"/>
      <c r="N150" s="146"/>
      <c r="O150" s="146"/>
      <c r="P150" s="158"/>
      <c r="Q150" s="146"/>
      <c r="R150" s="146"/>
      <c r="S150" s="158"/>
      <c r="T150" s="146"/>
      <c r="U150" s="146"/>
      <c r="V150" s="158"/>
      <c r="W150" s="146"/>
      <c r="X150" s="146"/>
      <c r="Y150" s="158"/>
      <c r="Z150" s="146"/>
      <c r="AA150" s="158"/>
      <c r="AB150" s="146"/>
      <c r="AC150" s="158"/>
      <c r="AD150" s="158"/>
      <c r="AE150" s="158"/>
      <c r="AF150" s="158"/>
      <c r="AG150" s="158"/>
    </row>
    <row r="151" spans="2:47" ht="42.75" customHeight="1">
      <c r="C151" s="159" t="s">
        <v>512</v>
      </c>
      <c r="D151" s="162" t="s">
        <v>513</v>
      </c>
      <c r="E151" s="163">
        <f>E149/E148</f>
        <v>65.616207090602146</v>
      </c>
      <c r="F151" s="156"/>
      <c r="G151" s="164"/>
      <c r="H151" s="164"/>
      <c r="I151" s="164"/>
      <c r="K151" s="48"/>
      <c r="L151" s="147" t="s">
        <v>514</v>
      </c>
      <c r="Y151" s="165" t="s">
        <v>515</v>
      </c>
    </row>
    <row r="152" spans="2:47" s="166" customFormat="1" ht="210" customHeight="1">
      <c r="C152" s="167" t="s">
        <v>516</v>
      </c>
      <c r="D152" s="167" t="str">
        <f>D$154</f>
        <v>тыс.руб.</v>
      </c>
      <c r="E152" s="168">
        <f>E153+E154</f>
        <v>44309.02</v>
      </c>
      <c r="F152" s="168">
        <f t="shared" ref="F152:F158" si="50">E152/12</f>
        <v>3692.4183333333331</v>
      </c>
      <c r="G152" s="169">
        <f>G153+G154</f>
        <v>44309.02</v>
      </c>
      <c r="H152" s="169">
        <f>H153+H154</f>
        <v>3692.4183333333331</v>
      </c>
      <c r="I152" s="170"/>
      <c r="K152" s="171"/>
      <c r="L152" s="527" t="s">
        <v>517</v>
      </c>
      <c r="M152" s="527" t="s">
        <v>518</v>
      </c>
      <c r="N152" s="527" t="s">
        <v>519</v>
      </c>
      <c r="O152" s="527" t="s">
        <v>520</v>
      </c>
      <c r="P152" s="527" t="s">
        <v>521</v>
      </c>
      <c r="Q152" s="527" t="s">
        <v>522</v>
      </c>
      <c r="R152" s="528" t="s">
        <v>523</v>
      </c>
      <c r="S152" s="528" t="s">
        <v>524</v>
      </c>
      <c r="T152" s="528" t="s">
        <v>525</v>
      </c>
      <c r="U152" s="528" t="s">
        <v>526</v>
      </c>
      <c r="V152" s="528" t="s">
        <v>527</v>
      </c>
      <c r="W152" s="528" t="s">
        <v>528</v>
      </c>
      <c r="X152" s="529"/>
      <c r="Y152" s="173"/>
      <c r="Z152" s="174" t="s">
        <v>529</v>
      </c>
      <c r="AA152" s="174" t="s">
        <v>530</v>
      </c>
      <c r="AB152" s="174" t="s">
        <v>531</v>
      </c>
      <c r="AC152" s="175" t="s">
        <v>532</v>
      </c>
      <c r="AD152" s="174" t="s">
        <v>533</v>
      </c>
      <c r="AE152" s="174" t="s">
        <v>534</v>
      </c>
      <c r="AF152" s="174" t="s">
        <v>535</v>
      </c>
      <c r="AG152" s="175" t="s">
        <v>536</v>
      </c>
      <c r="AH152" s="176" t="s">
        <v>537</v>
      </c>
      <c r="AI152" s="174" t="s">
        <v>538</v>
      </c>
      <c r="AJ152" s="174" t="s">
        <v>539</v>
      </c>
      <c r="AK152" s="174" t="s">
        <v>540</v>
      </c>
      <c r="AL152" s="175" t="s">
        <v>541</v>
      </c>
      <c r="AM152" s="176" t="s">
        <v>542</v>
      </c>
      <c r="AN152" s="174" t="s">
        <v>543</v>
      </c>
      <c r="AO152" s="174" t="s">
        <v>544</v>
      </c>
      <c r="AP152" s="174" t="s">
        <v>545</v>
      </c>
      <c r="AQ152" s="175" t="s">
        <v>546</v>
      </c>
      <c r="AR152" s="530" t="s">
        <v>547</v>
      </c>
      <c r="AS152" s="177" t="s">
        <v>548</v>
      </c>
      <c r="AT152" s="178" t="s">
        <v>549</v>
      </c>
      <c r="AU152" s="173"/>
    </row>
    <row r="153" spans="2:47" s="166" customFormat="1" ht="79.5" customHeight="1">
      <c r="C153" s="179" t="s">
        <v>550</v>
      </c>
      <c r="D153" s="159" t="str">
        <f>D$154</f>
        <v>тыс.руб.</v>
      </c>
      <c r="E153" s="180">
        <f>1939.32</f>
        <v>1939.32</v>
      </c>
      <c r="F153" s="160">
        <f t="shared" si="50"/>
        <v>161.60999999999999</v>
      </c>
      <c r="G153" s="181">
        <f t="shared" ref="G153:H155" si="51">E153</f>
        <v>1939.32</v>
      </c>
      <c r="H153" s="181">
        <f t="shared" si="51"/>
        <v>161.60999999999999</v>
      </c>
      <c r="I153" s="170"/>
      <c r="K153" s="171"/>
      <c r="L153" s="531">
        <f>S70*1.3</f>
        <v>1005892.7775</v>
      </c>
      <c r="M153" s="532">
        <f>AE70*1.3</f>
        <v>139213.06100000002</v>
      </c>
      <c r="N153" s="532">
        <f>S82*1.3</f>
        <v>64706.850000000006</v>
      </c>
      <c r="O153" s="532">
        <f>AE82*1.3</f>
        <v>6742.293999999999</v>
      </c>
      <c r="P153" s="531">
        <f>(S34+S115+S144)*1.3</f>
        <v>619999.25</v>
      </c>
      <c r="Q153" s="531">
        <f>(AE34+AE115+AE144)*1.3</f>
        <v>64225.407999999996</v>
      </c>
      <c r="R153" s="182">
        <v>0.6</v>
      </c>
      <c r="S153" s="183">
        <v>38296</v>
      </c>
      <c r="T153" s="184">
        <v>25530</v>
      </c>
      <c r="U153" s="185">
        <v>0</v>
      </c>
      <c r="V153" s="186">
        <v>0</v>
      </c>
      <c r="W153" s="182">
        <v>0.05</v>
      </c>
      <c r="X153" s="187"/>
      <c r="Y153" s="188" t="s">
        <v>551</v>
      </c>
      <c r="Z153" s="189">
        <f>31-7</f>
        <v>24</v>
      </c>
      <c r="AA153" s="189">
        <f>28-1</f>
        <v>27</v>
      </c>
      <c r="AB153" s="189">
        <f>31-2</f>
        <v>29</v>
      </c>
      <c r="AC153" s="190">
        <f>SUM(Z153:AB153)</f>
        <v>80</v>
      </c>
      <c r="AD153" s="189">
        <v>30</v>
      </c>
      <c r="AE153" s="189">
        <f>31-4</f>
        <v>27</v>
      </c>
      <c r="AF153" s="189">
        <f>30-1</f>
        <v>29</v>
      </c>
      <c r="AG153" s="191">
        <f>SUM(AD153:AF153)</f>
        <v>86</v>
      </c>
      <c r="AH153" s="190">
        <f>AC153+AG153</f>
        <v>166</v>
      </c>
      <c r="AI153" s="189">
        <v>31</v>
      </c>
      <c r="AJ153" s="189">
        <v>31</v>
      </c>
      <c r="AK153" s="189">
        <v>30</v>
      </c>
      <c r="AL153" s="191">
        <f>SUM(AI153:AK153)</f>
        <v>92</v>
      </c>
      <c r="AM153" s="190">
        <f>AH153+AL153</f>
        <v>258</v>
      </c>
      <c r="AN153" s="189">
        <v>31</v>
      </c>
      <c r="AO153" s="189">
        <v>30</v>
      </c>
      <c r="AP153" s="189">
        <v>31</v>
      </c>
      <c r="AQ153" s="190">
        <f>SUM(AN153:AP153)</f>
        <v>92</v>
      </c>
      <c r="AR153" s="533">
        <f>AM153+AQ153</f>
        <v>350</v>
      </c>
      <c r="AS153" s="191"/>
      <c r="AT153" s="193">
        <f>AR153/12</f>
        <v>29.166666666666668</v>
      </c>
      <c r="AU153" s="194">
        <f>AC153+AG153+AL153+AQ153-AR153</f>
        <v>0</v>
      </c>
    </row>
    <row r="154" spans="2:47" s="166" customFormat="1" ht="93.6">
      <c r="C154" s="179" t="s">
        <v>552</v>
      </c>
      <c r="D154" s="179" t="s">
        <v>553</v>
      </c>
      <c r="E154" s="195">
        <v>42369.7</v>
      </c>
      <c r="F154" s="160">
        <f t="shared" si="50"/>
        <v>3530.8083333333329</v>
      </c>
      <c r="G154" s="196">
        <f t="shared" si="51"/>
        <v>42369.7</v>
      </c>
      <c r="H154" s="197">
        <f t="shared" si="51"/>
        <v>3530.8083333333329</v>
      </c>
      <c r="I154" s="153"/>
      <c r="L154" s="198" t="s">
        <v>554</v>
      </c>
      <c r="M154" s="198" t="s">
        <v>554</v>
      </c>
      <c r="N154" s="198" t="s">
        <v>555</v>
      </c>
      <c r="O154" s="198" t="s">
        <v>555</v>
      </c>
      <c r="P154" s="199" t="s">
        <v>556</v>
      </c>
      <c r="Q154" s="199"/>
      <c r="R154" s="199" t="s">
        <v>557</v>
      </c>
      <c r="S154" s="199" t="s">
        <v>558</v>
      </c>
      <c r="T154" s="199" t="s">
        <v>559</v>
      </c>
      <c r="U154" s="199" t="s">
        <v>560</v>
      </c>
      <c r="V154" s="199" t="s">
        <v>561</v>
      </c>
      <c r="W154" s="199" t="s">
        <v>562</v>
      </c>
      <c r="X154" s="200" t="s">
        <v>563</v>
      </c>
      <c r="Y154" s="201" t="s">
        <v>564</v>
      </c>
      <c r="Z154" s="202">
        <f>Z157+Z165+Z162</f>
        <v>1672.3699614406144</v>
      </c>
      <c r="AA154" s="202">
        <f>AA157+AA165+AA162</f>
        <v>1965.961295219327</v>
      </c>
      <c r="AB154" s="202">
        <f>AB157+AB165+AB162</f>
        <v>2211.3611460083662</v>
      </c>
      <c r="AC154" s="190">
        <f>SUM(Z154:AB154)</f>
        <v>5849.6924026683082</v>
      </c>
      <c r="AD154" s="202">
        <f>AD157+AD165+AD162</f>
        <v>2299.829399742257</v>
      </c>
      <c r="AE154" s="202">
        <f>AE157+AE165+AE162</f>
        <v>2121.1533323283511</v>
      </c>
      <c r="AF154" s="202">
        <f>AF157+AF165+AF162</f>
        <v>737.21407023301492</v>
      </c>
      <c r="AG154" s="191">
        <f>SUM(AD154:AF154)</f>
        <v>5158.1968023036234</v>
      </c>
      <c r="AH154" s="190">
        <f>AC154+AG154</f>
        <v>11007.889204971932</v>
      </c>
      <c r="AI154" s="202">
        <f>AI157+AI165+AI162</f>
        <v>777.08040452239823</v>
      </c>
      <c r="AJ154" s="202">
        <f>AJ157+AJ165+AJ162</f>
        <v>2208.7488275562828</v>
      </c>
      <c r="AK154" s="202">
        <f>AK157+AK165+AK162</f>
        <v>2276.0929367383796</v>
      </c>
      <c r="AL154" s="191">
        <f>SUM(AI154:AK154)</f>
        <v>5261.9221688170601</v>
      </c>
      <c r="AM154" s="190">
        <f>AH154+AL154</f>
        <v>16269.811373788993</v>
      </c>
      <c r="AN154" s="202">
        <f>AN157+AN165+AN162</f>
        <v>2346.1819585598632</v>
      </c>
      <c r="AO154" s="202">
        <f>AO157+AO165+AO162</f>
        <v>2260.2110087811634</v>
      </c>
      <c r="AP154" s="202">
        <f>AP157+AP165+AP162</f>
        <v>2236.6930771922989</v>
      </c>
      <c r="AQ154" s="190">
        <f>SUM(AN154:AP154)</f>
        <v>6843.0860445333255</v>
      </c>
      <c r="AR154" s="533">
        <f>T171*12/1000</f>
        <v>23112.897418322318</v>
      </c>
      <c r="AS154" s="203">
        <f>AQ154+AM154-AR154</f>
        <v>0</v>
      </c>
      <c r="AT154" s="193">
        <f>AR154/(AR$153-AR161)*1000</f>
        <v>78613.3752949755</v>
      </c>
      <c r="AU154" s="194">
        <f>AC154+AG154+AL154+AQ154-AR154</f>
        <v>0</v>
      </c>
    </row>
    <row r="155" spans="2:47" s="166" customFormat="1" ht="82.5" customHeight="1">
      <c r="C155" s="159" t="s">
        <v>565</v>
      </c>
      <c r="D155" s="159" t="str">
        <f>D$154</f>
        <v>тыс.руб.</v>
      </c>
      <c r="E155" s="204">
        <f>186.4/1.302</f>
        <v>143.16436251920123</v>
      </c>
      <c r="F155" s="160">
        <f t="shared" si="50"/>
        <v>11.93036354326677</v>
      </c>
      <c r="G155" s="205">
        <f t="shared" si="51"/>
        <v>143.16436251920123</v>
      </c>
      <c r="H155" s="181">
        <f t="shared" si="51"/>
        <v>11.93036354326677</v>
      </c>
      <c r="I155" s="206" t="s">
        <v>566</v>
      </c>
      <c r="L155" s="963" t="s">
        <v>567</v>
      </c>
      <c r="M155" s="964"/>
      <c r="N155" s="964"/>
      <c r="O155" s="965"/>
      <c r="P155" s="207"/>
      <c r="Q155" s="207"/>
      <c r="R155" s="208">
        <f>L153</f>
        <v>1005892.7775</v>
      </c>
      <c r="S155" s="208">
        <f>N153</f>
        <v>64706.850000000006</v>
      </c>
      <c r="T155" s="209">
        <f>R155+S155</f>
        <v>1070599.6274999999</v>
      </c>
      <c r="U155" s="210">
        <f>P153</f>
        <v>619999.25</v>
      </c>
      <c r="V155" s="211">
        <f>T155+U155</f>
        <v>1690598.8774999999</v>
      </c>
      <c r="W155" s="207"/>
      <c r="X155" s="212">
        <f>T155+U155+W155</f>
        <v>1690598.8774999999</v>
      </c>
      <c r="Y155" s="213" t="s">
        <v>568</v>
      </c>
      <c r="Z155" s="214">
        <f>IF((Z$153-Z$161)&lt;0,0,$AT155*(Z$153-Z$161)/1000)</f>
        <v>1048.7250148608648</v>
      </c>
      <c r="AA155" s="214">
        <f>IF(AA$153-AA$161&lt;0,0,($AT155*(SUM(Z$153:AA$153)-SUM(Z$161:AA$161))/1000)-Z155)</f>
        <v>1176.1028785368023</v>
      </c>
      <c r="AB155" s="214">
        <f>IF((AB$153-AB$161)&lt;0,0,($AT155*(SUM(Z$153:AB$153)-SUM(Z$161:AB$161))/1000)-SUM(Z155:AA155))</f>
        <v>1249.8831647757484</v>
      </c>
      <c r="AC155" s="190">
        <f>SUM(Z155:AB155)</f>
        <v>3474.7110581734155</v>
      </c>
      <c r="AD155" s="214">
        <f>IF((AD$153-AD$161)&lt;0,0,($AT155*(SUM(Z$153:AB$153)+AD$153-SUM(Z$161:AB$161)-AD$161)/1000)-SUM(Z155:AB155))</f>
        <v>1310.9062685760814</v>
      </c>
      <c r="AE155" s="214">
        <f>IF((AE$153-AE$161)&lt;0,0,($AT155*(SUM(Z$153:AB$153)+SUM(AD$153:AE$153)-SUM(Z$161:AB$161)-SUM(AD$161:AE$161))/1000)-SUM(Z155:AB155)-AD155)</f>
        <v>1179.8156417184737</v>
      </c>
      <c r="AF155" s="214">
        <f>IF((AF$153-AF$161)&lt;0,0,($AT155*(SUM(Z$153:AB$153)+SUM(AD$153:AF$153)-SUM(Z$161:AB$161)-SUM(AD$161:AF$161))/1000)-SUM(Z155:AB155)-SUM(AD155:AE155))</f>
        <v>0</v>
      </c>
      <c r="AG155" s="191">
        <f>SUM(AD155:AF155)</f>
        <v>2490.7219102945551</v>
      </c>
      <c r="AH155" s="190">
        <f>AC155+AG155</f>
        <v>5965.4329684679706</v>
      </c>
      <c r="AI155" s="214">
        <f>IF((AI$153-AI$161)&lt;0,0,($AT155*(SUM(Z$153:AB$153)+SUM(AD$153:AF$153)+AI$153-SUM(Z$161:AB$161)-SUM(AD$161:AF$161)-AI$161)/1000)-SUM(Z155:AB155)-SUM(AD155:AF155))</f>
        <v>196.14059179401556</v>
      </c>
      <c r="AJ155" s="214">
        <f>IF((AJ$153-AJ$161)&lt;0,0,($AT155*(SUM(Z$153:AB$153)+SUM(AD$153:AF$153)+SUM(AI$153:AJ$153)-SUM(Z$161:AB$161)-SUM(AD$161:AF$161)-SUM(AI$161:AJ$161))/1000)-SUM(Z155:AB155)-SUM(AD155:AF155)-AI155)</f>
        <v>1354.6031441952828</v>
      </c>
      <c r="AK155" s="214">
        <f>IF((AK$153-AK$161)&lt;0,0,($AT155*(SUM(Z$153:AB$153)+SUM(AD$153:AF$153)+SUM(AI$153:AK$153)-SUM(Z$161:AB$161)-SUM(AD$161:AF$161)-SUM(AI$161:AK$161))/1000)-SUM(Z155:AB155)-SUM(AD155:AF155)-SUM(AI155:AJ155))</f>
        <v>1310.9062685760805</v>
      </c>
      <c r="AL155" s="191">
        <f>SUM(AI155:AK155)</f>
        <v>2861.6500045653788</v>
      </c>
      <c r="AM155" s="190">
        <f>AH155+AL155</f>
        <v>8827.0829730333498</v>
      </c>
      <c r="AN155" s="214">
        <f>IF(AN$153-AN$161&lt;0,0,($AT155*(SUM(Z$153:AB$153)+SUM(AD$153:AF$153)+SUM(AI$153:AK$153)+AN$153-SUM(Z$161:AB$161)-SUM(AD$161:AF$161)-SUM(AI$161:AK$161)-AN$161)/1000)-SUM(Z155:AB155)-SUM(AD155:AF155)-SUM(AI155:AK155))</f>
        <v>1354.6031441952859</v>
      </c>
      <c r="AO155" s="214">
        <f>IF(AO$153-AO$161&lt;0,0,($AT155*(SUM(Z$153:AB$153)+SUM(AD$153:AF$153)+SUM(AI$153:AK$153)+SUM(AN$153:AO$153)-SUM(Z$161:AB$161)-SUM(AD$161:AF$161)-SUM(AI$161:AK$161)-SUM(AN$161:AO$161))/1000)-SUM(Z155:AB155)-SUM(AD155:AF155)-SUM(AI155:AK155)-AN155)</f>
        <v>1310.90626857608</v>
      </c>
      <c r="AP155" s="214">
        <f>IF(AP$153-AP$161&lt;0,0,($AT155*(SUM(Z$153:AB$153)+SUM(AD$153:AF$153)+SUM(AI$153:AK$153)+SUM(AN$153:AP$153)-SUM(Z$161:AB$161)-SUM(AD$161:AF$161)-SUM(AI$161:AK$161)-SUM(AN$161:AP$161))/1000)-SUM(Z155:AB155)-SUM(AD155:AF155)-SUM(AI155:AK155)-SUM(AN155:AO155))</f>
        <v>1354.6031441952837</v>
      </c>
      <c r="AQ155" s="190">
        <f>SUM(AN155:AP155)</f>
        <v>4020.1125569666497</v>
      </c>
      <c r="AR155" s="534">
        <f>T155*12/1000</f>
        <v>12847.195529999999</v>
      </c>
      <c r="AS155" s="215">
        <f>AQ155+AM155-AR155</f>
        <v>0</v>
      </c>
      <c r="AT155" s="193">
        <f>AR155/(AR$153-AR$161)*1000</f>
        <v>43696.875619202699</v>
      </c>
      <c r="AU155" s="194">
        <f>AC155+AG155+AL155+AQ155-AR155</f>
        <v>0</v>
      </c>
    </row>
    <row r="156" spans="2:47" s="166" customFormat="1" ht="44.25" customHeight="1">
      <c r="C156" s="159" t="s">
        <v>569</v>
      </c>
      <c r="D156" s="159" t="str">
        <f>D$154</f>
        <v>тыс.руб.</v>
      </c>
      <c r="E156" s="216">
        <v>120</v>
      </c>
      <c r="F156" s="152">
        <f t="shared" si="50"/>
        <v>10</v>
      </c>
      <c r="G156" s="217">
        <f>H156*12</f>
        <v>120</v>
      </c>
      <c r="H156" s="217">
        <f>F156</f>
        <v>10</v>
      </c>
      <c r="I156" s="206" t="s">
        <v>566</v>
      </c>
      <c r="L156" s="963" t="s">
        <v>570</v>
      </c>
      <c r="M156" s="964"/>
      <c r="N156" s="964"/>
      <c r="O156" s="965"/>
      <c r="P156" s="207"/>
      <c r="Q156" s="218"/>
      <c r="R156" s="208">
        <f>M153</f>
        <v>139213.06100000002</v>
      </c>
      <c r="S156" s="208">
        <f>O153</f>
        <v>6742.293999999999</v>
      </c>
      <c r="T156" s="209">
        <f>R156+S156</f>
        <v>145955.35500000001</v>
      </c>
      <c r="U156" s="210">
        <f>Q153</f>
        <v>64225.407999999996</v>
      </c>
      <c r="V156" s="211">
        <f>T156+U156</f>
        <v>210180.76300000001</v>
      </c>
      <c r="W156" s="207"/>
      <c r="X156" s="212">
        <f>T156+U156+W156</f>
        <v>210180.76300000001</v>
      </c>
      <c r="Y156" s="213" t="s">
        <v>571</v>
      </c>
      <c r="Z156" s="214">
        <f>IF((Z$153-Z$161)&lt;0,0,$AT156*(Z$153-Z$161)/1000)</f>
        <v>142.97317868382859</v>
      </c>
      <c r="AA156" s="214">
        <f>IF(AA$153-AA$161&lt;0,0,($AT156*(SUM(Z$153:AA$153)-SUM(Z$161:AA$161))/1000)-Z156)</f>
        <v>160.33866325379498</v>
      </c>
      <c r="AB156" s="214">
        <f>IF((AB$153-AB$161)&lt;0,0,($AT156*(SUM(Z$153:AB$153)-SUM(Z$161:AB$161))/1000)-SUM(Z156:AA156))</f>
        <v>170.39716467056957</v>
      </c>
      <c r="AC156" s="190">
        <f>SUM(Z156:AB156)</f>
        <v>473.70900660819314</v>
      </c>
      <c r="AD156" s="214">
        <f>IF((AD$153-AD$161)&lt;0,0,($AT156*(SUM(Z$153:AB$153)+AD$153-SUM(Z$161:AB$161)-AD$161)/1000)-SUM(Z156:AB156))</f>
        <v>178.71647335478576</v>
      </c>
      <c r="AE156" s="214">
        <f>IF((AE$153-AE$161)&lt;0,0,($AT156*(SUM(Z$153:AB$153)+SUM(AD$153:AE$153)-SUM(Z$161:AB$161)-SUM(AD$161:AE$161))/1000)-SUM(Z156:AB156)-AD156)</f>
        <v>160.84482601930722</v>
      </c>
      <c r="AF156" s="214">
        <f>IF((AF$153-AF$161)&lt;0,0,($AT156*(SUM(Z$153:AB$153)+SUM(AD$153:AF$153)-SUM(Z$161:AB$161)-SUM(AD$161:AF$161))/1000)-SUM(Z156:AB156)-SUM(AD156:AE156))</f>
        <v>0</v>
      </c>
      <c r="AG156" s="191">
        <f>SUM(AD156:AF156)</f>
        <v>339.56129937409298</v>
      </c>
      <c r="AH156" s="190">
        <f>AC156+AG156</f>
        <v>813.27030598228612</v>
      </c>
      <c r="AI156" s="214">
        <f>IF((AI$153-AI$161)&lt;0,0,($AT156*(SUM(Z$153:AB$153)+SUM(AD$153:AF$153)+AI$153-SUM(Z$161:AB$161)-SUM(AD$161:AF$161)-AI$161)/1000)-SUM(Z156:AB156)-SUM(AD156:AF156))</f>
        <v>26.739939908306837</v>
      </c>
      <c r="AJ156" s="214">
        <f>IF((AJ$153-AJ$161)&lt;0,0,($AT156*(SUM(Z$153:AB$153)+SUM(AD$153:AF$153)+SUM(AI$153:AJ$153)-SUM(Z$161:AB$161)-SUM(AD$161:AF$161)-SUM(AI$161:AJ$161))/1000)-SUM(Z156:AB156)-SUM(AD156:AF156)-AI156)</f>
        <v>184.67368913327857</v>
      </c>
      <c r="AK156" s="214">
        <f>IF((AK$153-AK$161)&lt;0,0,($AT156*(SUM(Z$153:AB$153)+SUM(AD$153:AF$153)+SUM(AI$153:AK$153)-SUM(Z$161:AB$161)-SUM(AD$161:AF$161)-SUM(AI$161:AK$161))/1000)-SUM(Z156:AB156)-SUM(AD156:AF156)-SUM(AI156:AJ156))</f>
        <v>178.71647335478565</v>
      </c>
      <c r="AL156" s="191">
        <f>SUM(AI156:AK156)</f>
        <v>390.13010239637106</v>
      </c>
      <c r="AM156" s="190">
        <f>AH156+AL156</f>
        <v>1203.4004083786572</v>
      </c>
      <c r="AN156" s="214">
        <f>IF(AN$153-AN$161&lt;0,0,($AT156*(SUM(Z$153:AB$153)+SUM(AD$153:AF$153)+SUM(AI$153:AK$153)+AN$153-SUM(Z$161:AB$161)-SUM(AD$161:AF$161)-SUM(AI$161:AK$161)-AN$161)/1000)-SUM(Z156:AB156)-SUM(AD156:AF156)-SUM(AI156:AK156))</f>
        <v>184.67368913327846</v>
      </c>
      <c r="AO156" s="214">
        <f>IF(AO$153-AO$161&lt;0,0,($AT156*(SUM(Z$153:AB$153)+SUM(AD$153:AF$153)+SUM(AI$153:AK$153)+SUM(AN$153:AO$153)-SUM(Z$161:AB$161)-SUM(AD$161:AF$161)-SUM(AI$161:AK$161)-SUM(AN$161:AO$161))/1000)-SUM(Z156:AB156)-SUM(AD156:AF156)-SUM(AI156:AK156)-AN156)</f>
        <v>178.71647335478599</v>
      </c>
      <c r="AP156" s="214">
        <f>IF(AP$153-AP$161&lt;0,0,($AT156*(SUM(Z$153:AB$153)+SUM(AD$153:AF$153)+SUM(AI$153:AK$153)+SUM(AN$153:AP$153)-SUM(Z$161:AB$161)-SUM(AD$161:AF$161)-SUM(AI$161:AK$161)-SUM(AN$161:AP$161))/1000)-SUM(Z156:AB156)-SUM(AD156:AF156)-SUM(AI156:AK156)-SUM(AN156:AO156))</f>
        <v>184.67368913327846</v>
      </c>
      <c r="AQ156" s="190">
        <f>SUM(AN156:AP156)</f>
        <v>548.06385162134291</v>
      </c>
      <c r="AR156" s="533">
        <f>T156*12/1000</f>
        <v>1751.4642600000002</v>
      </c>
      <c r="AS156" s="215">
        <f>AQ156+AM156-AR156</f>
        <v>0</v>
      </c>
      <c r="AT156" s="193">
        <f>AR156/(AR$153-AR$161)*1000</f>
        <v>5957.2157784928577</v>
      </c>
      <c r="AU156" s="194">
        <f>AC156+AG156+AL156+AQ156-AR156</f>
        <v>0</v>
      </c>
    </row>
    <row r="157" spans="2:47" s="166" customFormat="1" ht="54" customHeight="1">
      <c r="C157" s="159" t="s">
        <v>572</v>
      </c>
      <c r="D157" s="159" t="str">
        <f>D$154</f>
        <v>тыс.руб.</v>
      </c>
      <c r="E157" s="216">
        <v>1750</v>
      </c>
      <c r="F157" s="160">
        <f t="shared" si="50"/>
        <v>145.83333333333334</v>
      </c>
      <c r="G157" s="219">
        <f>12*H157</f>
        <v>1750</v>
      </c>
      <c r="H157" s="219">
        <f>U188/1000</f>
        <v>145.83333333333334</v>
      </c>
      <c r="I157" s="220" t="s">
        <v>573</v>
      </c>
      <c r="L157" s="963" t="s">
        <v>574</v>
      </c>
      <c r="M157" s="964"/>
      <c r="N157" s="964"/>
      <c r="O157" s="965"/>
      <c r="P157" s="221">
        <f>V157/V168*100</f>
        <v>54.01663987266371</v>
      </c>
      <c r="Q157" s="207"/>
      <c r="R157" s="212">
        <f>R155+R156</f>
        <v>1145105.8385000001</v>
      </c>
      <c r="S157" s="212">
        <f>S155+S156</f>
        <v>71449.144</v>
      </c>
      <c r="T157" s="209">
        <f>R157+S157</f>
        <v>1216554.9825000002</v>
      </c>
      <c r="U157" s="222">
        <f>U155+U156</f>
        <v>684224.65800000005</v>
      </c>
      <c r="V157" s="211">
        <f>T157+U157</f>
        <v>1900779.6405000002</v>
      </c>
      <c r="W157" s="207"/>
      <c r="X157" s="212">
        <f>T157+U157+W157</f>
        <v>1900779.6405000002</v>
      </c>
      <c r="Y157" s="213" t="s">
        <v>575</v>
      </c>
      <c r="Z157" s="223">
        <f>Z155+Z156</f>
        <v>1191.6981935446934</v>
      </c>
      <c r="AA157" s="223">
        <f>AA155+AA156</f>
        <v>1336.4415417905973</v>
      </c>
      <c r="AB157" s="223">
        <f>AB155+AB156</f>
        <v>1420.2803294463179</v>
      </c>
      <c r="AC157" s="190">
        <f>SUM(Z157:AB157)</f>
        <v>3948.4200647816083</v>
      </c>
      <c r="AD157" s="223">
        <f>AD155+AD156</f>
        <v>1489.6227419308671</v>
      </c>
      <c r="AE157" s="223">
        <f>AE155+AE156</f>
        <v>1340.6604677377809</v>
      </c>
      <c r="AF157" s="223">
        <f>AF155+AF156</f>
        <v>0</v>
      </c>
      <c r="AG157" s="191">
        <f>SUM(AD157:AF157)</f>
        <v>2830.2832096686479</v>
      </c>
      <c r="AH157" s="190">
        <f>AC157+AG157</f>
        <v>6778.7032744502558</v>
      </c>
      <c r="AI157" s="223">
        <f>AI155+AI156</f>
        <v>222.8805317023224</v>
      </c>
      <c r="AJ157" s="223">
        <f>AJ155+AJ156</f>
        <v>1539.2768333285612</v>
      </c>
      <c r="AK157" s="223">
        <f>AK155+AK156</f>
        <v>1489.6227419308661</v>
      </c>
      <c r="AL157" s="191">
        <f>SUM(AI157:AK157)</f>
        <v>3251.7801069617499</v>
      </c>
      <c r="AM157" s="190">
        <f>AH157+AL157</f>
        <v>10030.483381412007</v>
      </c>
      <c r="AN157" s="223">
        <f>AN155+AN156</f>
        <v>1539.2768333285644</v>
      </c>
      <c r="AO157" s="223">
        <f>AO155+AO156</f>
        <v>1489.6227419308661</v>
      </c>
      <c r="AP157" s="223">
        <f>AP155+AP156</f>
        <v>1539.2768333285621</v>
      </c>
      <c r="AQ157" s="190">
        <f>SUM(AN157:AP157)</f>
        <v>4568.1764085879931</v>
      </c>
      <c r="AR157" s="533">
        <f>AR155+AR156</f>
        <v>14598.65979</v>
      </c>
      <c r="AS157" s="215">
        <f>AQ157+AM157-AR157</f>
        <v>0</v>
      </c>
      <c r="AT157" s="193">
        <f>AR157/(AR$153-AR$161)*1000</f>
        <v>49654.091397695556</v>
      </c>
      <c r="AU157" s="194">
        <f>AC157+AG157+AL157+AQ157-AR157</f>
        <v>0</v>
      </c>
    </row>
    <row r="158" spans="2:47" s="166" customFormat="1" ht="61.5" customHeight="1">
      <c r="C158" s="159" t="s">
        <v>576</v>
      </c>
      <c r="D158" s="159" t="str">
        <f>D$154</f>
        <v>тыс.руб.</v>
      </c>
      <c r="E158" s="216">
        <v>50</v>
      </c>
      <c r="F158" s="160">
        <f t="shared" si="50"/>
        <v>4.166666666666667</v>
      </c>
      <c r="G158" s="224"/>
      <c r="H158" s="224"/>
      <c r="I158" s="220" t="s">
        <v>577</v>
      </c>
      <c r="J158" s="225" t="s">
        <v>578</v>
      </c>
      <c r="L158" s="963" t="s">
        <v>579</v>
      </c>
      <c r="M158" s="964"/>
      <c r="N158" s="964"/>
      <c r="O158" s="965"/>
      <c r="P158" s="226">
        <f>U158/V168*100</f>
        <v>3.6736066645391863</v>
      </c>
      <c r="Q158" s="207"/>
      <c r="R158" s="227"/>
      <c r="S158" s="228"/>
      <c r="T158" s="222">
        <f>F182</f>
        <v>305072.17305745982</v>
      </c>
      <c r="U158" s="222">
        <f>F183</f>
        <v>129269.73561520909</v>
      </c>
      <c r="V158" s="222">
        <f>T158+U158</f>
        <v>434341.90867266891</v>
      </c>
      <c r="W158" s="207"/>
      <c r="X158" s="212">
        <f>T158+U158+W158</f>
        <v>434341.90867266891</v>
      </c>
      <c r="Y158" s="213" t="s">
        <v>580</v>
      </c>
      <c r="Z158" s="223">
        <f t="shared" ref="Z158:AR158" si="52">Z157/Z154*100</f>
        <v>71.25804822027176</v>
      </c>
      <c r="AA158" s="223">
        <f t="shared" si="52"/>
        <v>67.979036262842655</v>
      </c>
      <c r="AB158" s="223">
        <f t="shared" si="52"/>
        <v>64.226520937568495</v>
      </c>
      <c r="AC158" s="223">
        <f t="shared" si="52"/>
        <v>67.497909171780663</v>
      </c>
      <c r="AD158" s="223">
        <f t="shared" si="52"/>
        <v>64.771010497466023</v>
      </c>
      <c r="AE158" s="223">
        <f t="shared" si="52"/>
        <v>63.204316600071643</v>
      </c>
      <c r="AF158" s="223">
        <f t="shared" si="52"/>
        <v>0</v>
      </c>
      <c r="AG158" s="223">
        <f t="shared" si="52"/>
        <v>54.869624369598668</v>
      </c>
      <c r="AH158" s="223">
        <f t="shared" si="52"/>
        <v>61.580409724586616</v>
      </c>
      <c r="AI158" s="223">
        <f t="shared" si="52"/>
        <v>28.681785102959466</v>
      </c>
      <c r="AJ158" s="223">
        <f t="shared" si="52"/>
        <v>69.689989831554882</v>
      </c>
      <c r="AK158" s="223">
        <f t="shared" si="52"/>
        <v>65.446481463339623</v>
      </c>
      <c r="AL158" s="223">
        <f t="shared" si="52"/>
        <v>61.798331534287733</v>
      </c>
      <c r="AM158" s="223">
        <f t="shared" si="52"/>
        <v>61.650889189602566</v>
      </c>
      <c r="AN158" s="223">
        <f t="shared" si="52"/>
        <v>65.607734630838493</v>
      </c>
      <c r="AO158" s="223">
        <f t="shared" si="52"/>
        <v>65.906357244678532</v>
      </c>
      <c r="AP158" s="223">
        <f t="shared" si="52"/>
        <v>68.81931405898581</v>
      </c>
      <c r="AQ158" s="223">
        <f t="shared" si="52"/>
        <v>66.756086053270238</v>
      </c>
      <c r="AR158" s="535">
        <f t="shared" si="52"/>
        <v>63.162395980813656</v>
      </c>
      <c r="AS158" s="215"/>
      <c r="AT158" s="178"/>
      <c r="AU158" s="194"/>
    </row>
    <row r="159" spans="2:47" s="166" customFormat="1" ht="65.25" customHeight="1">
      <c r="C159" s="159" t="s">
        <v>581</v>
      </c>
      <c r="D159" s="151"/>
      <c r="E159" s="151"/>
      <c r="F159" s="151"/>
      <c r="G159" s="219">
        <f>12*H159</f>
        <v>640.44908401247665</v>
      </c>
      <c r="H159" s="181">
        <f>U189/1000</f>
        <v>53.370757001039721</v>
      </c>
      <c r="I159" s="220" t="s">
        <v>582</v>
      </c>
      <c r="L159" s="986" t="s">
        <v>583</v>
      </c>
      <c r="M159" s="987"/>
      <c r="N159" s="987"/>
      <c r="O159" s="988"/>
      <c r="P159" s="230">
        <v>1</v>
      </c>
      <c r="Q159" s="231"/>
      <c r="R159" s="231"/>
      <c r="S159" s="232"/>
      <c r="T159" s="209">
        <f>T168-T157-T158</f>
        <v>404447.62930273329</v>
      </c>
      <c r="U159" s="209">
        <f>U168-U157-U158</f>
        <v>779308.79131466371</v>
      </c>
      <c r="V159" s="209">
        <f>T159+U159</f>
        <v>1183756.4206173969</v>
      </c>
      <c r="W159" s="233"/>
      <c r="X159" s="209">
        <f>T159+U159+W159</f>
        <v>1183756.4206173969</v>
      </c>
      <c r="Y159" s="234" t="s">
        <v>584</v>
      </c>
      <c r="Z159" s="235"/>
      <c r="AA159" s="235">
        <v>6</v>
      </c>
      <c r="AB159" s="235">
        <v>28</v>
      </c>
      <c r="AC159" s="190">
        <f>SUM(Z159:AB159)</f>
        <v>34</v>
      </c>
      <c r="AD159" s="235"/>
      <c r="AE159" s="235"/>
      <c r="AF159" s="235">
        <v>710</v>
      </c>
      <c r="AG159" s="191">
        <f>SUM(AD159:AF159)</f>
        <v>710</v>
      </c>
      <c r="AH159" s="190">
        <f>AC159+AG159</f>
        <v>744</v>
      </c>
      <c r="AI159" s="235">
        <v>2067</v>
      </c>
      <c r="AJ159" s="235">
        <v>1143</v>
      </c>
      <c r="AK159" s="235"/>
      <c r="AL159" s="191">
        <f>SUM(AI159:AK159)</f>
        <v>3210</v>
      </c>
      <c r="AM159" s="190">
        <f>AH159+AL159</f>
        <v>3954</v>
      </c>
      <c r="AN159" s="235"/>
      <c r="AO159" s="235"/>
      <c r="AP159" s="235"/>
      <c r="AQ159" s="190">
        <f>SUM(AN159:AP159)</f>
        <v>0</v>
      </c>
      <c r="AR159" s="533">
        <f>AM159+AQ159</f>
        <v>3954</v>
      </c>
      <c r="AS159" s="215">
        <f>AQ159+AM159-AR159</f>
        <v>0</v>
      </c>
      <c r="AT159" s="178"/>
      <c r="AU159" s="194">
        <f>AC159+AG159+AL159+AQ159-AR159</f>
        <v>0</v>
      </c>
    </row>
    <row r="160" spans="2:47" s="166" customFormat="1" ht="114.75" customHeight="1">
      <c r="C160" s="236" t="s">
        <v>585</v>
      </c>
      <c r="D160" s="151"/>
      <c r="E160" s="152"/>
      <c r="F160" s="152"/>
      <c r="G160" s="237">
        <f>G161+G157</f>
        <v>41586.086553468318</v>
      </c>
      <c r="H160" s="219">
        <f>H161+H157</f>
        <v>3465.5072127890267</v>
      </c>
      <c r="I160" s="153" t="s">
        <v>586</v>
      </c>
      <c r="J160" s="981" t="s">
        <v>587</v>
      </c>
      <c r="L160" s="983" t="s">
        <v>588</v>
      </c>
      <c r="M160" s="984"/>
      <c r="N160" s="984"/>
      <c r="O160" s="985"/>
      <c r="P160" s="238"/>
      <c r="Q160" s="231"/>
      <c r="R160" s="231"/>
      <c r="S160" s="232"/>
      <c r="T160" s="239">
        <f>IF(T155=0,0,T159/T155*100)</f>
        <v>37.777673269621353</v>
      </c>
      <c r="U160" s="240">
        <f>IF(U155=0,0,U159/U155*100)</f>
        <v>125.69511839162124</v>
      </c>
      <c r="V160" s="240">
        <f>IF(V155=0,0,V159/V155*100)</f>
        <v>70.01994597132915</v>
      </c>
      <c r="W160" s="241"/>
      <c r="X160" s="242">
        <f>IF($X$155=0,0,X159/$X$155*100)</f>
        <v>70.01994597132915</v>
      </c>
      <c r="Y160" s="234" t="s">
        <v>589</v>
      </c>
      <c r="Z160" s="243"/>
      <c r="AA160" s="243">
        <v>6</v>
      </c>
      <c r="AB160" s="243">
        <v>28</v>
      </c>
      <c r="AC160" s="190">
        <f>SUM(Z160:AB160)</f>
        <v>34</v>
      </c>
      <c r="AD160" s="243"/>
      <c r="AE160" s="243"/>
      <c r="AF160" s="243">
        <f>3640+280</f>
        <v>3920</v>
      </c>
      <c r="AG160" s="191">
        <f>SUM(AD160:AF160)</f>
        <v>3920</v>
      </c>
      <c r="AH160" s="190">
        <f>AC160+AG160</f>
        <v>3954</v>
      </c>
      <c r="AI160" s="244"/>
      <c r="AJ160" s="244"/>
      <c r="AK160" s="244"/>
      <c r="AL160" s="191">
        <f>SUM(AI160:AK160)</f>
        <v>0</v>
      </c>
      <c r="AM160" s="190">
        <f>AH160+AL160</f>
        <v>3954</v>
      </c>
      <c r="AN160" s="243"/>
      <c r="AO160" s="243"/>
      <c r="AP160" s="243"/>
      <c r="AQ160" s="190">
        <f>SUM(AN160:AP160)</f>
        <v>0</v>
      </c>
      <c r="AR160" s="533">
        <f>AM160+AQ160</f>
        <v>3954</v>
      </c>
      <c r="AS160" s="215">
        <f>AR160-E176</f>
        <v>0</v>
      </c>
      <c r="AT160" s="178"/>
      <c r="AU160" s="194">
        <f>AC160+AG160+AL160+AQ160-AR160</f>
        <v>0</v>
      </c>
    </row>
    <row r="161" spans="3:54" s="166" customFormat="1" ht="51" customHeight="1">
      <c r="C161" s="236" t="s">
        <v>590</v>
      </c>
      <c r="D161" s="159" t="str">
        <f>D$154</f>
        <v>тыс.руб.</v>
      </c>
      <c r="E161" s="245">
        <f>E154-E155</f>
        <v>42226.535637480796</v>
      </c>
      <c r="F161" s="246">
        <f>E161/12</f>
        <v>3518.8779697900663</v>
      </c>
      <c r="G161" s="219">
        <f>12*H161</f>
        <v>39836.086553468318</v>
      </c>
      <c r="H161" s="219">
        <f>V172/1000</f>
        <v>3319.6738794556932</v>
      </c>
      <c r="I161" s="170" t="s">
        <v>591</v>
      </c>
      <c r="J161" s="982"/>
      <c r="L161" s="983" t="s">
        <v>592</v>
      </c>
      <c r="M161" s="984"/>
      <c r="N161" s="984"/>
      <c r="O161" s="985"/>
      <c r="P161" s="247">
        <f>R153</f>
        <v>0.6</v>
      </c>
      <c r="Q161" s="231"/>
      <c r="R161" s="231"/>
      <c r="S161" s="232"/>
      <c r="T161" s="248">
        <f>T159*$P$161</f>
        <v>242668.57758163995</v>
      </c>
      <c r="U161" s="248">
        <f>U159*$P$161</f>
        <v>467585.27478879824</v>
      </c>
      <c r="V161" s="248">
        <f t="shared" ref="V161:V168" si="53">T161+U161</f>
        <v>710253.85237043817</v>
      </c>
      <c r="W161" s="241"/>
      <c r="X161" s="222">
        <f t="shared" ref="X161:X167" si="54">T161+U161+W161</f>
        <v>710253.85237043817</v>
      </c>
      <c r="Y161" s="249" t="s">
        <v>593</v>
      </c>
      <c r="Z161" s="250">
        <f>Z160/$G170</f>
        <v>0</v>
      </c>
      <c r="AA161" s="250">
        <f>AA160/$G170</f>
        <v>8.496633063712794E-2</v>
      </c>
      <c r="AB161" s="250">
        <f>AB160/$G170</f>
        <v>0.39650954297326368</v>
      </c>
      <c r="AC161" s="190">
        <f>SUM(Z161:AB161)</f>
        <v>0.48147587361039162</v>
      </c>
      <c r="AD161" s="250">
        <f>AD160/$G170</f>
        <v>0</v>
      </c>
      <c r="AE161" s="250">
        <f>AE160/$G170</f>
        <v>0</v>
      </c>
      <c r="AF161" s="250">
        <f>AF160/$G170</f>
        <v>55.511336016256919</v>
      </c>
      <c r="AG161" s="190">
        <f>SUM(AD161:AF161)</f>
        <v>55.511336016256919</v>
      </c>
      <c r="AH161" s="190">
        <f>AC161+AG161</f>
        <v>55.992811889867312</v>
      </c>
      <c r="AI161" s="250">
        <f>AI160/$G170</f>
        <v>0</v>
      </c>
      <c r="AJ161" s="250">
        <f>AJ160/$G170</f>
        <v>0</v>
      </c>
      <c r="AK161" s="250">
        <f>AK160/$G170</f>
        <v>0</v>
      </c>
      <c r="AL161" s="190">
        <f>SUM(AI161:AK161)</f>
        <v>0</v>
      </c>
      <c r="AM161" s="190">
        <f>AH161+AL161</f>
        <v>55.992811889867312</v>
      </c>
      <c r="AN161" s="250">
        <f>AN160/$G170</f>
        <v>0</v>
      </c>
      <c r="AO161" s="250">
        <f>AO160/$G170</f>
        <v>0</v>
      </c>
      <c r="AP161" s="250">
        <f>AP160/$G170</f>
        <v>0</v>
      </c>
      <c r="AQ161" s="190">
        <f>SUM(AN161:AP161)</f>
        <v>0</v>
      </c>
      <c r="AR161" s="536">
        <f>AR160/$G170</f>
        <v>55.992811889867312</v>
      </c>
      <c r="AS161" s="251">
        <f>AM161+AP161-AR161</f>
        <v>0</v>
      </c>
      <c r="AT161" s="178"/>
      <c r="AU161" s="194">
        <f>AC161+AG161+AL161+AQ161-AR161</f>
        <v>0</v>
      </c>
      <c r="AV161" s="525" t="s">
        <v>594</v>
      </c>
      <c r="AW161" s="992" t="s">
        <v>595</v>
      </c>
      <c r="AX161" s="993"/>
    </row>
    <row r="162" spans="3:54" s="166" customFormat="1" ht="56.25" customHeight="1">
      <c r="C162" s="179" t="s">
        <v>596</v>
      </c>
      <c r="D162" s="159"/>
      <c r="E162" s="252">
        <v>29138</v>
      </c>
      <c r="F162" s="168"/>
      <c r="G162" s="219">
        <f>G164/(100-G163)*100</f>
        <v>29023.740972645042</v>
      </c>
      <c r="H162" s="219">
        <f>G162</f>
        <v>29023.740972645042</v>
      </c>
      <c r="I162" s="196">
        <f>G162/E162*100</f>
        <v>99.607869354949003</v>
      </c>
      <c r="J162" s="253">
        <f>IF((G162-E162)&gt;0,(G162-E162)*12*E168/1000,0)</f>
        <v>0</v>
      </c>
      <c r="L162" s="983" t="s">
        <v>597</v>
      </c>
      <c r="M162" s="984"/>
      <c r="N162" s="984"/>
      <c r="O162" s="985"/>
      <c r="P162" s="254">
        <v>0.6</v>
      </c>
      <c r="Q162" s="207"/>
      <c r="R162" s="207"/>
      <c r="S162" s="228"/>
      <c r="T162" s="209">
        <f>IF($P$161=0,0,IF($P$161&lt;60%,60%*T159,T161))</f>
        <v>242668.57758163995</v>
      </c>
      <c r="U162" s="209">
        <f>IF($P$161=0,0,IF($P$161&lt;60%,60% *U159,U161))</f>
        <v>467585.27478879824</v>
      </c>
      <c r="V162" s="209">
        <f t="shared" si="53"/>
        <v>710253.85237043817</v>
      </c>
      <c r="W162" s="233"/>
      <c r="X162" s="209">
        <f t="shared" si="54"/>
        <v>710253.85237043817</v>
      </c>
      <c r="Y162" s="213" t="s">
        <v>598</v>
      </c>
      <c r="Z162" s="223">
        <f>$AR162/12</f>
        <v>305.07217305745985</v>
      </c>
      <c r="AA162" s="223">
        <f>$AR162/12</f>
        <v>305.07217305745985</v>
      </c>
      <c r="AB162" s="223">
        <f>$AR162/12</f>
        <v>305.07217305745985</v>
      </c>
      <c r="AC162" s="190">
        <f>SUM(Z162:AB162)</f>
        <v>915.21651917237955</v>
      </c>
      <c r="AD162" s="223">
        <f>$AR162/12</f>
        <v>305.07217305745985</v>
      </c>
      <c r="AE162" s="223">
        <f>$AR162/12</f>
        <v>305.07217305745985</v>
      </c>
      <c r="AF162" s="223">
        <f>$AR162/12</f>
        <v>305.07217305745985</v>
      </c>
      <c r="AG162" s="191">
        <f>SUM(AD162:AF162)</f>
        <v>915.21651917237955</v>
      </c>
      <c r="AH162" s="190">
        <f>AC162+AG162</f>
        <v>1830.4330383447591</v>
      </c>
      <c r="AI162" s="223">
        <f>$AR162/12</f>
        <v>305.07217305745985</v>
      </c>
      <c r="AJ162" s="223">
        <f>$AR162/12</f>
        <v>305.07217305745985</v>
      </c>
      <c r="AK162" s="223">
        <f>$AR162/12</f>
        <v>305.07217305745985</v>
      </c>
      <c r="AL162" s="191">
        <f>SUM(AI162:AK162)</f>
        <v>915.21651917237955</v>
      </c>
      <c r="AM162" s="190">
        <f>AH162+AL162</f>
        <v>2745.6495575171384</v>
      </c>
      <c r="AN162" s="223">
        <f>$AR162/12</f>
        <v>305.07217305745985</v>
      </c>
      <c r="AO162" s="223">
        <f>$AR162/12</f>
        <v>305.07217305745985</v>
      </c>
      <c r="AP162" s="223">
        <f>$AR162/12</f>
        <v>305.07217305745985</v>
      </c>
      <c r="AQ162" s="190">
        <f>SUM(AN162:AP162)</f>
        <v>915.21651917237955</v>
      </c>
      <c r="AR162" s="533">
        <f>T158*12/1000</f>
        <v>3660.8660766895182</v>
      </c>
      <c r="AS162" s="215">
        <f>AQ162+AM162-AR162</f>
        <v>0</v>
      </c>
      <c r="AT162" s="193">
        <f>AR162/AR161*1000</f>
        <v>65381.000759349321</v>
      </c>
      <c r="AU162" s="194">
        <f>AC162+AG162+AL162+AQ162-AR162</f>
        <v>0</v>
      </c>
    </row>
    <row r="163" spans="3:54" s="166" customFormat="1" ht="49.5" customHeight="1">
      <c r="C163" s="236" t="s">
        <v>599</v>
      </c>
      <c r="D163" s="159"/>
      <c r="E163" s="255">
        <f>'[1]Штат-внебюджет'!E123/E162*100</f>
        <v>4.687040977417805</v>
      </c>
      <c r="F163" s="168"/>
      <c r="G163" s="205">
        <f>G153/G161*100</f>
        <v>4.8682492879842219</v>
      </c>
      <c r="H163" s="217"/>
      <c r="I163" s="153"/>
      <c r="L163" s="983" t="s">
        <v>600</v>
      </c>
      <c r="M163" s="984"/>
      <c r="N163" s="984"/>
      <c r="O163" s="985"/>
      <c r="P163" s="238">
        <f>P159-P161-P166-P165-P164</f>
        <v>0.29608181304164666</v>
      </c>
      <c r="Q163" s="231"/>
      <c r="R163" s="231"/>
      <c r="S163" s="232"/>
      <c r="T163" s="256">
        <f>T159-T167-T165-T162-T164</f>
        <v>103260.67025595668</v>
      </c>
      <c r="U163" s="256">
        <f>U159-U167-U165-U162-U164</f>
        <v>247228.07696013228</v>
      </c>
      <c r="V163" s="256">
        <f t="shared" si="53"/>
        <v>350488.74721608893</v>
      </c>
      <c r="W163" s="257"/>
      <c r="X163" s="209">
        <f t="shared" si="54"/>
        <v>350488.74721608893</v>
      </c>
      <c r="Y163" s="258" t="s">
        <v>601</v>
      </c>
      <c r="Z163" s="259">
        <f t="shared" ref="Z163:AR163" si="55">Z162/Z154*100</f>
        <v>18.241906999732542</v>
      </c>
      <c r="AA163" s="259">
        <f t="shared" si="55"/>
        <v>15.517710028132845</v>
      </c>
      <c r="AB163" s="259">
        <f t="shared" si="55"/>
        <v>13.795673927261165</v>
      </c>
      <c r="AC163" s="260">
        <f t="shared" si="55"/>
        <v>15.645549478035942</v>
      </c>
      <c r="AD163" s="259">
        <f t="shared" si="55"/>
        <v>13.264991442045634</v>
      </c>
      <c r="AE163" s="259">
        <f t="shared" si="55"/>
        <v>14.382372476702932</v>
      </c>
      <c r="AF163" s="259">
        <f t="shared" si="55"/>
        <v>41.381762146920792</v>
      </c>
      <c r="AG163" s="261">
        <f t="shared" si="55"/>
        <v>17.742954645771729</v>
      </c>
      <c r="AH163" s="262">
        <f t="shared" si="55"/>
        <v>16.628374470902266</v>
      </c>
      <c r="AI163" s="259">
        <f t="shared" si="55"/>
        <v>39.258765409862626</v>
      </c>
      <c r="AJ163" s="259">
        <f t="shared" si="55"/>
        <v>13.811990265773488</v>
      </c>
      <c r="AK163" s="259">
        <f t="shared" si="55"/>
        <v>13.403326732985935</v>
      </c>
      <c r="AL163" s="261">
        <f t="shared" si="55"/>
        <v>17.393197577039242</v>
      </c>
      <c r="AM163" s="262">
        <f t="shared" si="55"/>
        <v>16.87573072875594</v>
      </c>
      <c r="AN163" s="259">
        <f t="shared" si="55"/>
        <v>13.002920423304239</v>
      </c>
      <c r="AO163" s="259">
        <f t="shared" si="55"/>
        <v>13.497508501295746</v>
      </c>
      <c r="AP163" s="259">
        <f t="shared" si="55"/>
        <v>13.63942939549016</v>
      </c>
      <c r="AQ163" s="260">
        <f t="shared" si="55"/>
        <v>13.374324291940043</v>
      </c>
      <c r="AR163" s="537">
        <f t="shared" si="55"/>
        <v>15.839061673797051</v>
      </c>
      <c r="AS163" s="263"/>
      <c r="AT163" s="264"/>
      <c r="AU163" s="265"/>
    </row>
    <row r="164" spans="3:54" s="166" customFormat="1" ht="91.5" customHeight="1">
      <c r="C164" s="159" t="s">
        <v>602</v>
      </c>
      <c r="D164" s="159" t="s">
        <v>603</v>
      </c>
      <c r="E164" s="245">
        <f>E162-'[1]Штат-внебюджет'!E123</f>
        <v>27772.29</v>
      </c>
      <c r="F164" s="160">
        <f>E164</f>
        <v>27772.29</v>
      </c>
      <c r="G164" s="266">
        <f>R177</f>
        <v>27610.792909397867</v>
      </c>
      <c r="H164" s="266">
        <f t="shared" ref="H164:H172" si="56">G164</f>
        <v>27610.792909397867</v>
      </c>
      <c r="I164" s="196">
        <f>G164/E164*100</f>
        <v>99.41849559182144</v>
      </c>
      <c r="L164" s="983" t="s">
        <v>604</v>
      </c>
      <c r="M164" s="984"/>
      <c r="N164" s="984"/>
      <c r="O164" s="985"/>
      <c r="P164" s="254">
        <f>V164/V159</f>
        <v>5.3918186958353369E-2</v>
      </c>
      <c r="Q164" s="207"/>
      <c r="R164" s="207"/>
      <c r="S164" s="228"/>
      <c r="T164" s="209">
        <f>IF(T159&lt;S153,T159,S153)</f>
        <v>38296</v>
      </c>
      <c r="U164" s="209">
        <f>IF(U159&lt;T153,U159,T153)</f>
        <v>25530</v>
      </c>
      <c r="V164" s="222">
        <f t="shared" si="53"/>
        <v>63826</v>
      </c>
      <c r="W164" s="207"/>
      <c r="X164" s="212">
        <f t="shared" si="54"/>
        <v>63826</v>
      </c>
      <c r="Y164" s="172" t="s">
        <v>605</v>
      </c>
      <c r="Z164" s="267">
        <f>$AR162/$AR161*Z161</f>
        <v>0</v>
      </c>
      <c r="AA164" s="267">
        <f t="shared" ref="AA164:AR164" si="57">$AR162/$AR161*AA161</f>
        <v>5.5551837279051872</v>
      </c>
      <c r="AB164" s="267">
        <f t="shared" si="57"/>
        <v>25.924190730224204</v>
      </c>
      <c r="AC164" s="267">
        <f t="shared" si="57"/>
        <v>31.479374458129392</v>
      </c>
      <c r="AD164" s="267">
        <f t="shared" si="57"/>
        <v>0</v>
      </c>
      <c r="AE164" s="267">
        <f t="shared" si="57"/>
        <v>0</v>
      </c>
      <c r="AF164" s="267">
        <f t="shared" si="57"/>
        <v>3629.3867022313889</v>
      </c>
      <c r="AG164" s="267">
        <f t="shared" si="57"/>
        <v>3629.3867022313889</v>
      </c>
      <c r="AH164" s="267">
        <f t="shared" si="57"/>
        <v>3660.8660766895182</v>
      </c>
      <c r="AI164" s="267">
        <f t="shared" si="57"/>
        <v>0</v>
      </c>
      <c r="AJ164" s="267">
        <f t="shared" si="57"/>
        <v>0</v>
      </c>
      <c r="AK164" s="267">
        <f t="shared" si="57"/>
        <v>0</v>
      </c>
      <c r="AL164" s="267">
        <f t="shared" si="57"/>
        <v>0</v>
      </c>
      <c r="AM164" s="267">
        <f t="shared" si="57"/>
        <v>3660.8660766895182</v>
      </c>
      <c r="AN164" s="267">
        <f t="shared" si="57"/>
        <v>0</v>
      </c>
      <c r="AO164" s="267">
        <f t="shared" si="57"/>
        <v>0</v>
      </c>
      <c r="AP164" s="267">
        <f t="shared" si="57"/>
        <v>0</v>
      </c>
      <c r="AQ164" s="267">
        <f t="shared" si="57"/>
        <v>0</v>
      </c>
      <c r="AR164" s="538">
        <f t="shared" si="57"/>
        <v>3660.8660766895182</v>
      </c>
      <c r="AS164" s="267">
        <f>AC164+AG164+AL164+AQ164-AR164</f>
        <v>0</v>
      </c>
      <c r="AT164" s="269">
        <f>AR164/AR161*1000</f>
        <v>65381.000759349321</v>
      </c>
      <c r="AU164" s="173"/>
    </row>
    <row r="165" spans="3:54" s="166" customFormat="1" ht="38.25" customHeight="1">
      <c r="C165" s="159" t="s">
        <v>606</v>
      </c>
      <c r="D165" s="159" t="s">
        <v>607</v>
      </c>
      <c r="E165" s="270">
        <v>41.98</v>
      </c>
      <c r="F165" s="160">
        <f>E165</f>
        <v>41.98</v>
      </c>
      <c r="G165" s="181">
        <f>U172/V172*100</f>
        <v>41.98</v>
      </c>
      <c r="H165" s="181">
        <f t="shared" si="56"/>
        <v>41.98</v>
      </c>
      <c r="I165" s="196"/>
      <c r="L165" s="983" t="s">
        <v>608</v>
      </c>
      <c r="M165" s="984"/>
      <c r="N165" s="984"/>
      <c r="O165" s="985"/>
      <c r="P165" s="254">
        <f>(T165+U165)/V159</f>
        <v>0</v>
      </c>
      <c r="Q165" s="207"/>
      <c r="R165" s="207"/>
      <c r="S165" s="228"/>
      <c r="T165" s="209">
        <f>U153</f>
        <v>0</v>
      </c>
      <c r="U165" s="209">
        <f>V153</f>
        <v>0</v>
      </c>
      <c r="V165" s="212">
        <f t="shared" si="53"/>
        <v>0</v>
      </c>
      <c r="W165" s="207"/>
      <c r="X165" s="212">
        <f t="shared" si="54"/>
        <v>0</v>
      </c>
      <c r="Y165" s="213" t="s">
        <v>609</v>
      </c>
      <c r="Z165" s="223">
        <f>Z168+Z171+Z173+Z175+Z177</f>
        <v>175.5995948384612</v>
      </c>
      <c r="AA165" s="223">
        <f>AA168+AA171+AA173+AA175+AA177</f>
        <v>324.44758037126979</v>
      </c>
      <c r="AB165" s="223">
        <f>AB168+AB171+AB173+AB175+AB177</f>
        <v>486.00864350458841</v>
      </c>
      <c r="AC165" s="190">
        <f>SUM(Z165:AB165)</f>
        <v>986.05581871431946</v>
      </c>
      <c r="AD165" s="223">
        <f>AD168+AD171+AD173+AD175+AD177</f>
        <v>505.13448475393011</v>
      </c>
      <c r="AE165" s="223">
        <f>AE168+AE171+AE173+AE175+AE177</f>
        <v>475.42069153311058</v>
      </c>
      <c r="AF165" s="223">
        <f>AF168+AF171+AF173+AF175+AF177</f>
        <v>432.14189717555507</v>
      </c>
      <c r="AG165" s="191">
        <f>SUM(AD165:AF165)</f>
        <v>1412.6970734625957</v>
      </c>
      <c r="AH165" s="190">
        <f>AC165+AG165</f>
        <v>2398.7528921769153</v>
      </c>
      <c r="AI165" s="223">
        <f>AI168+AI171+AI173+AI175+AI177</f>
        <v>249.12769976261598</v>
      </c>
      <c r="AJ165" s="223">
        <f>AJ168+AJ171+AJ173+AJ175+AJ177</f>
        <v>364.39982117026153</v>
      </c>
      <c r="AK165" s="223">
        <f>AK168+AK171+AK173+AK175+AK177</f>
        <v>481.398021750054</v>
      </c>
      <c r="AL165" s="191">
        <f>SUM(AI165:AK165)</f>
        <v>1094.9255426829313</v>
      </c>
      <c r="AM165" s="190">
        <f>AH165+AL165</f>
        <v>3493.6784348598467</v>
      </c>
      <c r="AN165" s="223">
        <f>AN168+AN171+AN173+AN175+AN177</f>
        <v>501.8329521738392</v>
      </c>
      <c r="AO165" s="223">
        <f>AO168+AO171+AO173+AO175+AO177</f>
        <v>465.5160937928373</v>
      </c>
      <c r="AP165" s="223">
        <f>AP168+AP171+AP173+AP175+AP177</f>
        <v>392.34407080627665</v>
      </c>
      <c r="AQ165" s="190">
        <f>SUM(AN165:AP165)</f>
        <v>1359.6931167729531</v>
      </c>
      <c r="AR165" s="533">
        <f>AR154-AR157-AR162</f>
        <v>4853.3715516328002</v>
      </c>
      <c r="AS165" s="271">
        <f>AQ165+AM165-AR165</f>
        <v>0</v>
      </c>
      <c r="AT165" s="193">
        <f>AR165/(AR$153-AR$161)*1000</f>
        <v>16507.662900455234</v>
      </c>
      <c r="AU165" s="194">
        <f>AC165+AG165+AL165+AQ165-AR165</f>
        <v>0</v>
      </c>
    </row>
    <row r="166" spans="3:54" s="166" customFormat="1" ht="49.5" customHeight="1">
      <c r="C166" s="159" t="s">
        <v>610</v>
      </c>
      <c r="D166" s="159" t="s">
        <v>603</v>
      </c>
      <c r="E166" s="252">
        <f>21773*(100-E163)/100</f>
        <v>20752.490567986821</v>
      </c>
      <c r="F166" s="160">
        <f t="shared" ref="F166:F173" si="58">E166</f>
        <v>20752.490567986821</v>
      </c>
      <c r="G166" s="266">
        <f>S177</f>
        <v>20752.490567986821</v>
      </c>
      <c r="H166" s="266">
        <f t="shared" si="56"/>
        <v>20752.490567986821</v>
      </c>
      <c r="I166" s="196">
        <f>G166/E166*100</f>
        <v>100</v>
      </c>
      <c r="L166" s="983" t="s">
        <v>611</v>
      </c>
      <c r="M166" s="984"/>
      <c r="N166" s="984"/>
      <c r="O166" s="985"/>
      <c r="P166" s="272">
        <f>W153</f>
        <v>0.05</v>
      </c>
      <c r="Q166" s="273"/>
      <c r="R166" s="273"/>
      <c r="S166" s="274"/>
      <c r="T166" s="248">
        <f>T159*$P$166</f>
        <v>20222.381465136667</v>
      </c>
      <c r="U166" s="248">
        <f>U159*$P$166</f>
        <v>38965.439565733184</v>
      </c>
      <c r="V166" s="248">
        <f t="shared" si="53"/>
        <v>59187.821030869847</v>
      </c>
      <c r="W166" s="241"/>
      <c r="X166" s="248">
        <f t="shared" si="54"/>
        <v>59187.821030869847</v>
      </c>
      <c r="Y166" s="213" t="s">
        <v>612</v>
      </c>
      <c r="Z166" s="223">
        <f>Z165/Z154*100</f>
        <v>10.500044779995692</v>
      </c>
      <c r="AA166" s="223">
        <f>AA165/AA154*100</f>
        <v>16.503253709024506</v>
      </c>
      <c r="AB166" s="223">
        <f>AB165/AB154*100</f>
        <v>21.977805135170343</v>
      </c>
      <c r="AC166" s="190"/>
      <c r="AD166" s="223">
        <f>AD165/AD154*100</f>
        <v>21.963998060488347</v>
      </c>
      <c r="AE166" s="223">
        <f>AE165/AE154*100</f>
        <v>22.413310923225431</v>
      </c>
      <c r="AF166" s="223">
        <f>AF165/AF154*100</f>
        <v>58.618237853079201</v>
      </c>
      <c r="AG166" s="191"/>
      <c r="AH166" s="190"/>
      <c r="AI166" s="223">
        <f>AI165/AI154*100</f>
        <v>32.059449487177908</v>
      </c>
      <c r="AJ166" s="223">
        <f>AJ165/AJ154*100</f>
        <v>16.498019902671619</v>
      </c>
      <c r="AK166" s="223">
        <f>AK165/AK154*100</f>
        <v>21.150191803674456</v>
      </c>
      <c r="AL166" s="191"/>
      <c r="AM166" s="190"/>
      <c r="AN166" s="223">
        <f>AN165/AN154*100</f>
        <v>21.389344945857268</v>
      </c>
      <c r="AO166" s="223">
        <f>AO165/AO154*100</f>
        <v>20.596134254025714</v>
      </c>
      <c r="AP166" s="223">
        <f>AP165/AP154*100</f>
        <v>17.541256545524014</v>
      </c>
      <c r="AQ166" s="190"/>
      <c r="AR166" s="533">
        <f>AR165/AR154*100</f>
        <v>20.998542345389289</v>
      </c>
      <c r="AS166" s="275"/>
      <c r="AT166" s="202">
        <f>AT165/AT154*100</f>
        <v>20.998542345389293</v>
      </c>
      <c r="AU166" s="194"/>
    </row>
    <row r="167" spans="3:54" s="166" customFormat="1" ht="144.75" customHeight="1">
      <c r="C167" s="159" t="s">
        <v>613</v>
      </c>
      <c r="D167" s="159" t="s">
        <v>513</v>
      </c>
      <c r="E167" s="152">
        <f>E170+E173</f>
        <v>141</v>
      </c>
      <c r="F167" s="160">
        <f t="shared" si="58"/>
        <v>141</v>
      </c>
      <c r="G167" s="266">
        <f>G170+G173</f>
        <v>135.99921321720296</v>
      </c>
      <c r="H167" s="266">
        <f t="shared" si="56"/>
        <v>135.99921321720296</v>
      </c>
      <c r="I167" s="276">
        <f>G167-E167</f>
        <v>-5.0007867827970358</v>
      </c>
      <c r="J167" s="526" t="s">
        <v>614</v>
      </c>
      <c r="L167" s="983" t="s">
        <v>615</v>
      </c>
      <c r="M167" s="984"/>
      <c r="N167" s="984"/>
      <c r="O167" s="985"/>
      <c r="P167" s="277">
        <v>0.05</v>
      </c>
      <c r="Q167" s="278"/>
      <c r="R167" s="278"/>
      <c r="S167" s="279"/>
      <c r="T167" s="280">
        <f>IF($P$166&gt;5%,5%*T159,T166)</f>
        <v>20222.381465136667</v>
      </c>
      <c r="U167" s="280">
        <f>IF($P$166&gt;5%,5%*U159,U166)</f>
        <v>38965.439565733184</v>
      </c>
      <c r="V167" s="280">
        <f t="shared" si="53"/>
        <v>59187.821030869847</v>
      </c>
      <c r="W167" s="278"/>
      <c r="X167" s="280">
        <f t="shared" si="54"/>
        <v>59187.821030869847</v>
      </c>
      <c r="Y167" s="281" t="s">
        <v>616</v>
      </c>
      <c r="Z167" s="282">
        <f>AI$153-AI159/$G$170</f>
        <v>1.7290990955094259</v>
      </c>
      <c r="AA167" s="283">
        <f>AJ$153-AJ159/$G$170</f>
        <v>14.81391401362713</v>
      </c>
      <c r="AB167" s="283">
        <f>AK$153-AK159/$G$170</f>
        <v>30</v>
      </c>
      <c r="AC167" s="284">
        <f>SUM(Z167:AB167)</f>
        <v>46.543013109136552</v>
      </c>
      <c r="AD167" s="283">
        <f>AN$153-AN159/$G$170</f>
        <v>31</v>
      </c>
      <c r="AE167" s="283">
        <f>AO$153-AO159/$G$170</f>
        <v>30</v>
      </c>
      <c r="AF167" s="283">
        <f>AP$153-AP159/$G$170</f>
        <v>31</v>
      </c>
      <c r="AG167" s="285">
        <f>SUM(AD167:AF167)</f>
        <v>92</v>
      </c>
      <c r="AH167" s="284">
        <f>AC167+AG167</f>
        <v>138.54301310913655</v>
      </c>
      <c r="AI167" s="283">
        <f>Z$153-Z159/$G$170</f>
        <v>24</v>
      </c>
      <c r="AJ167" s="283">
        <f>AA$153-AA159/$G$170</f>
        <v>26.915033669362874</v>
      </c>
      <c r="AK167" s="283">
        <f>AB$153-AB159/$G$170</f>
        <v>28.603490457026737</v>
      </c>
      <c r="AL167" s="285">
        <f>SUM(AI167:AK167)</f>
        <v>79.518524126389607</v>
      </c>
      <c r="AM167" s="284">
        <f>AH167+AL167</f>
        <v>218.06153723552615</v>
      </c>
      <c r="AN167" s="286">
        <f>AD$153-AD159/$G$170</f>
        <v>30</v>
      </c>
      <c r="AO167" s="286">
        <f>AE$153-AE159/$G$170</f>
        <v>27</v>
      </c>
      <c r="AP167" s="283">
        <f>AF$153-AF159/$G$170</f>
        <v>18.945650874606528</v>
      </c>
      <c r="AQ167" s="190">
        <f>SUM(AN167:AP167)</f>
        <v>75.945650874606528</v>
      </c>
      <c r="AR167" s="533">
        <f>AR153-AR161</f>
        <v>294.00718811013269</v>
      </c>
      <c r="AS167" s="287">
        <f>AR167-AH167-AL167-AQ167</f>
        <v>0</v>
      </c>
      <c r="AT167" s="189"/>
      <c r="AU167" s="194">
        <f>AC167+AG167+AL167+AQ167-AR167</f>
        <v>0</v>
      </c>
      <c r="AV167" s="525" t="s">
        <v>617</v>
      </c>
      <c r="AW167" s="1013" t="s">
        <v>618</v>
      </c>
      <c r="AX167" s="1014"/>
      <c r="AY167" s="1014"/>
      <c r="AZ167" s="1013" t="s">
        <v>619</v>
      </c>
      <c r="BA167" s="1014"/>
      <c r="BB167" s="526" t="s">
        <v>620</v>
      </c>
    </row>
    <row r="168" spans="3:54" s="166" customFormat="1" ht="93.75" customHeight="1">
      <c r="C168" s="159" t="s">
        <v>621</v>
      </c>
      <c r="D168" s="159" t="s">
        <v>513</v>
      </c>
      <c r="E168" s="288">
        <v>66</v>
      </c>
      <c r="F168" s="160">
        <f t="shared" si="58"/>
        <v>66</v>
      </c>
      <c r="G168" s="219">
        <f>E151</f>
        <v>65.616207090602146</v>
      </c>
      <c r="H168" s="266">
        <f t="shared" si="56"/>
        <v>65.616207090602146</v>
      </c>
      <c r="I168" s="276">
        <f>G168-E168</f>
        <v>-0.38379290939785449</v>
      </c>
      <c r="J168" s="526" t="s">
        <v>622</v>
      </c>
      <c r="L168" s="983" t="s">
        <v>623</v>
      </c>
      <c r="M168" s="984"/>
      <c r="N168" s="984"/>
      <c r="O168" s="985"/>
      <c r="P168" s="289"/>
      <c r="Q168" s="289"/>
      <c r="R168" s="290">
        <f>E151*E164</f>
        <v>1822312.3320202592</v>
      </c>
      <c r="S168" s="222">
        <f>E169*E166</f>
        <v>103762.45283993411</v>
      </c>
      <c r="T168" s="200">
        <f>R168+S168</f>
        <v>1926074.7848601933</v>
      </c>
      <c r="U168" s="222">
        <f>X168-T168</f>
        <v>1592803.1849298729</v>
      </c>
      <c r="V168" s="222">
        <f t="shared" si="53"/>
        <v>3518877.9697900661</v>
      </c>
      <c r="W168" s="209">
        <f>X168-T168-U168</f>
        <v>0</v>
      </c>
      <c r="X168" s="222">
        <f>F161*1000</f>
        <v>3518877.9697900661</v>
      </c>
      <c r="Y168" s="213" t="s">
        <v>624</v>
      </c>
      <c r="Z168" s="291">
        <f>IF(Z$167&lt;0,0,($AT168*Z$167)/1000)</f>
        <v>17.126030994090986</v>
      </c>
      <c r="AA168" s="291">
        <f>IF(AA$167&lt;0,0,($AT168*AA$167)/1000)</f>
        <v>146.72585926397184</v>
      </c>
      <c r="AB168" s="291">
        <f>IF(AB$167&lt;0,0,($AT168*AB$167)/1000)</f>
        <v>297.13793220819417</v>
      </c>
      <c r="AC168" s="190">
        <f>SUM(Z168:AB168)</f>
        <v>460.98982246625701</v>
      </c>
      <c r="AD168" s="291">
        <f>IF(AD$167&lt;0,0,($AT168*AD$167)/1000)</f>
        <v>307.04252994846729</v>
      </c>
      <c r="AE168" s="291">
        <f>IF(AE$167&lt;0,0,($AT168*AE$167)/1000)</f>
        <v>297.13793220819417</v>
      </c>
      <c r="AF168" s="291">
        <f>IF(AF$167&lt;0,0,($AT168*AF$167)/1000)</f>
        <v>307.04252994846729</v>
      </c>
      <c r="AG168" s="191">
        <f>SUM(AD168:AF168)</f>
        <v>911.2229921051287</v>
      </c>
      <c r="AH168" s="190">
        <f>AC168+AG168</f>
        <v>1372.2128145713857</v>
      </c>
      <c r="AI168" s="291">
        <f>IF(AI$167&lt;0,0,($AT168*AI$167)/1000)</f>
        <v>237.71034576655535</v>
      </c>
      <c r="AJ168" s="291">
        <f>IF(AJ$167&lt;0,0,($AT168*AJ$167)/1000)</f>
        <v>266.58258166094697</v>
      </c>
      <c r="AK168" s="291">
        <f>IF(AK$167&lt;0,0,($AT168*AK$167)/1000)</f>
        <v>283.30606694459129</v>
      </c>
      <c r="AL168" s="191">
        <f>SUM(AI168:AK168)</f>
        <v>787.59899437209356</v>
      </c>
      <c r="AM168" s="190">
        <f>AH168+AL168</f>
        <v>2159.8118089434793</v>
      </c>
      <c r="AN168" s="291">
        <f>IF(AN$167&lt;0,0,($AT168*AN$167)/1000)</f>
        <v>297.13793220819417</v>
      </c>
      <c r="AO168" s="291">
        <f>IF(AO$167&lt;0,0,($AT168*AO$167)/1000)</f>
        <v>267.4241389873747</v>
      </c>
      <c r="AP168" s="291">
        <f>IF(AP$167&lt;0,0,($AT168*AP$167)/1000)</f>
        <v>187.64905084063162</v>
      </c>
      <c r="AQ168" s="190">
        <f>SUM(AN168:AP168)</f>
        <v>752.21112203620055</v>
      </c>
      <c r="AR168" s="539">
        <f>AR165-AR171-AR173-AR175-AR177</f>
        <v>2912.02293097968</v>
      </c>
      <c r="AS168" s="215">
        <f>AQ168+AM168-AR168</f>
        <v>0</v>
      </c>
      <c r="AT168" s="292">
        <f>AR168/AR167*1000</f>
        <v>9904.5977402731387</v>
      </c>
      <c r="AU168" s="194">
        <f>AC168+AG168+AL168+AQ168-AR168</f>
        <v>0</v>
      </c>
    </row>
    <row r="169" spans="3:54" s="166" customFormat="1" ht="42" customHeight="1">
      <c r="C169" s="159" t="s">
        <v>625</v>
      </c>
      <c r="D169" s="159" t="s">
        <v>513</v>
      </c>
      <c r="E169" s="288">
        <v>5</v>
      </c>
      <c r="F169" s="160">
        <f t="shared" si="58"/>
        <v>5</v>
      </c>
      <c r="G169" s="217">
        <f>E169</f>
        <v>5</v>
      </c>
      <c r="H169" s="266">
        <f t="shared" si="56"/>
        <v>5</v>
      </c>
      <c r="I169" s="153"/>
      <c r="L169" s="983" t="s">
        <v>626</v>
      </c>
      <c r="M169" s="984"/>
      <c r="N169" s="984"/>
      <c r="O169" s="985"/>
      <c r="P169" s="241"/>
      <c r="Q169" s="241"/>
      <c r="R169" s="293">
        <f>R168/E168</f>
        <v>27610.792909397867</v>
      </c>
      <c r="S169" s="293">
        <f>S168/E169</f>
        <v>20752.490567986821</v>
      </c>
      <c r="T169" s="293">
        <f>T168/E170</f>
        <v>27127.813871270329</v>
      </c>
      <c r="U169" s="293">
        <f>U168/E171</f>
        <v>22754.331213283898</v>
      </c>
      <c r="V169" s="293">
        <f>V168/E167</f>
        <v>24956.581346028837</v>
      </c>
      <c r="W169" s="293">
        <f>W168/E167</f>
        <v>0</v>
      </c>
      <c r="X169" s="293">
        <f>X168/$E$167</f>
        <v>24956.581346028837</v>
      </c>
      <c r="Y169" s="213" t="s">
        <v>627</v>
      </c>
      <c r="Z169" s="223">
        <f>Z168/Z$165*100</f>
        <v>9.7528875336219798</v>
      </c>
      <c r="AA169" s="223">
        <f>AA168/AA$165*100</f>
        <v>45.223286638806627</v>
      </c>
      <c r="AB169" s="223">
        <f>AB168/AB$165*100</f>
        <v>61.138404878058282</v>
      </c>
      <c r="AC169" s="190"/>
      <c r="AD169" s="223">
        <f>AD168/AD$165*100</f>
        <v>60.784313725490193</v>
      </c>
      <c r="AE169" s="223">
        <f>AE168/AE$165*100</f>
        <v>62.500000000000014</v>
      </c>
      <c r="AF169" s="223">
        <f>AF168/AF$165*100</f>
        <v>71.051321789271711</v>
      </c>
      <c r="AG169" s="191"/>
      <c r="AH169" s="176"/>
      <c r="AI169" s="223">
        <f>AI168/AI$165*100</f>
        <v>95.417067629597284</v>
      </c>
      <c r="AJ169" s="223">
        <f>AJ168/AJ$165*100</f>
        <v>73.156617038071872</v>
      </c>
      <c r="AK169" s="223">
        <f>AK168/AK$165*100</f>
        <v>58.850691973073012</v>
      </c>
      <c r="AL169" s="191"/>
      <c r="AM169" s="176"/>
      <c r="AN169" s="223">
        <f>AN168/AN$165*100</f>
        <v>59.210526315789458</v>
      </c>
      <c r="AO169" s="223">
        <f>AO168/AO$165*100</f>
        <v>57.446808510638313</v>
      </c>
      <c r="AP169" s="223">
        <f>AP168/AP$165*100</f>
        <v>47.82767596181796</v>
      </c>
      <c r="AQ169" s="190"/>
      <c r="AR169" s="533">
        <f>AR168/AR165*100</f>
        <v>60</v>
      </c>
      <c r="AS169" s="294"/>
      <c r="AT169" s="202">
        <f>AT168/AT$165*100</f>
        <v>59.999999999999986</v>
      </c>
      <c r="AU169" s="194"/>
    </row>
    <row r="170" spans="3:54" s="166" customFormat="1" ht="88.5" customHeight="1">
      <c r="C170" s="159" t="s">
        <v>628</v>
      </c>
      <c r="D170" s="159" t="s">
        <v>513</v>
      </c>
      <c r="E170" s="295">
        <f>E168+E169</f>
        <v>71</v>
      </c>
      <c r="F170" s="160">
        <f t="shared" si="58"/>
        <v>71</v>
      </c>
      <c r="G170" s="266">
        <f>G168+G169</f>
        <v>70.616207090602146</v>
      </c>
      <c r="H170" s="266">
        <f t="shared" si="56"/>
        <v>70.616207090602146</v>
      </c>
      <c r="I170" s="153"/>
      <c r="L170" s="983" t="s">
        <v>629</v>
      </c>
      <c r="M170" s="984"/>
      <c r="N170" s="984"/>
      <c r="O170" s="985"/>
      <c r="P170" s="241"/>
      <c r="Q170" s="241"/>
      <c r="R170" s="296">
        <f>R169/E164*100</f>
        <v>99.41849559182144</v>
      </c>
      <c r="S170" s="297">
        <f>S169/E166*100</f>
        <v>100</v>
      </c>
      <c r="T170" s="296">
        <f>(R170*R169/100+S170*S169/100)/(R169+S169)*100</f>
        <v>99.668016796303178</v>
      </c>
      <c r="U170" s="296">
        <f>U169/E166*100</f>
        <v>109.64626698052886</v>
      </c>
      <c r="V170" s="296">
        <f>(T170*T169/100+U170*U169/100)/(T169+U169)*100</f>
        <v>104.21971378599793</v>
      </c>
      <c r="W170" s="241"/>
      <c r="X170" s="242"/>
      <c r="Y170" s="540" t="s">
        <v>630</v>
      </c>
      <c r="Z170" s="541">
        <f>Z$153-Z159/$G$170</f>
        <v>24</v>
      </c>
      <c r="AA170" s="541">
        <f>AA$153-AA159/$G$170</f>
        <v>26.915033669362874</v>
      </c>
      <c r="AB170" s="541">
        <f>AB$153-AB159/$G$170</f>
        <v>28.603490457026737</v>
      </c>
      <c r="AC170" s="542">
        <f>SUM(Z170:AB170)</f>
        <v>79.518524126389607</v>
      </c>
      <c r="AD170" s="541">
        <f>AD$153-AD159/$G$170</f>
        <v>30</v>
      </c>
      <c r="AE170" s="541">
        <f>AE$153-AE159/$G$170</f>
        <v>27</v>
      </c>
      <c r="AF170" s="541">
        <f>AF$153-AF159/$G$170</f>
        <v>18.945650874606528</v>
      </c>
      <c r="AG170" s="541">
        <f t="shared" ref="AG170:AR170" si="59">AG153-AG161</f>
        <v>30.488663983743081</v>
      </c>
      <c r="AH170" s="541">
        <f t="shared" si="59"/>
        <v>110.00718811013269</v>
      </c>
      <c r="AI170" s="541">
        <f>AI$153-AI159/$G$170</f>
        <v>1.7290990955094259</v>
      </c>
      <c r="AJ170" s="541">
        <f>AJ$153-AJ159/$G$170</f>
        <v>14.81391401362713</v>
      </c>
      <c r="AK170" s="541">
        <f>AK$153-AK159/$G$170</f>
        <v>30</v>
      </c>
      <c r="AL170" s="541">
        <f t="shared" si="59"/>
        <v>92</v>
      </c>
      <c r="AM170" s="541">
        <f t="shared" si="59"/>
        <v>202.00718811013269</v>
      </c>
      <c r="AN170" s="541">
        <f>AN$153-AN159/$G$170</f>
        <v>31</v>
      </c>
      <c r="AO170" s="541">
        <f>AO$153-AO159/$G$170</f>
        <v>30</v>
      </c>
      <c r="AP170" s="541">
        <f>AP$153-AP159/$G$170</f>
        <v>31</v>
      </c>
      <c r="AQ170" s="541">
        <f t="shared" si="59"/>
        <v>92</v>
      </c>
      <c r="AR170" s="541">
        <f t="shared" si="59"/>
        <v>294.00718811013269</v>
      </c>
      <c r="AS170" s="173"/>
      <c r="AT170" s="173"/>
      <c r="AU170" s="173"/>
    </row>
    <row r="171" spans="3:54" s="166" customFormat="1" ht="78" customHeight="1">
      <c r="C171" s="159" t="s">
        <v>631</v>
      </c>
      <c r="D171" s="159" t="s">
        <v>513</v>
      </c>
      <c r="E171" s="288">
        <v>70</v>
      </c>
      <c r="F171" s="160">
        <f t="shared" si="58"/>
        <v>70</v>
      </c>
      <c r="G171" s="266">
        <f>U175</f>
        <v>65.383006126600833</v>
      </c>
      <c r="H171" s="266">
        <f t="shared" si="56"/>
        <v>65.383006126600833</v>
      </c>
      <c r="I171" s="298">
        <f>G171-E171</f>
        <v>-4.6169938733991671</v>
      </c>
      <c r="J171" s="526" t="s">
        <v>632</v>
      </c>
      <c r="L171" s="983" t="s">
        <v>633</v>
      </c>
      <c r="M171" s="984"/>
      <c r="N171" s="984"/>
      <c r="O171" s="985"/>
      <c r="P171" s="233"/>
      <c r="Q171" s="233"/>
      <c r="R171" s="200">
        <f>IF(W168&gt;0,IF(W168&gt;E168*E164,E164*E168+R168,R168+W168),R168)</f>
        <v>1822312.3320202592</v>
      </c>
      <c r="S171" s="299">
        <f>IF(W168&gt;0,IF(W168&gt;E169*E166,E169*E166+S168,S168+W168),S168)</f>
        <v>103762.45283993411</v>
      </c>
      <c r="T171" s="222">
        <f>R171+S171</f>
        <v>1926074.7848601933</v>
      </c>
      <c r="U171" s="197">
        <f>IF(U172&gt;U168,U168,U172)</f>
        <v>1393599.0945954998</v>
      </c>
      <c r="V171" s="222">
        <f>T171+U171</f>
        <v>3319673.8794556931</v>
      </c>
      <c r="W171" s="209">
        <f>X171-V171</f>
        <v>199204.09033437306</v>
      </c>
      <c r="X171" s="209">
        <f>X168</f>
        <v>3518877.9697900661</v>
      </c>
      <c r="Y171" s="213" t="s">
        <v>634</v>
      </c>
      <c r="Z171" s="214">
        <f>IF(Z$170&lt;0,0,$AT171*Z$170/1000)</f>
        <v>101.15083656585806</v>
      </c>
      <c r="AA171" s="214">
        <f>IF(AA$170&lt;0,0,$AT171*(SUM(Z$170:AA$170))/1000)-Z171</f>
        <v>113.43659049392876</v>
      </c>
      <c r="AB171" s="214">
        <f>IF(AB$170&lt;0,0,$AT171*SUM(Z$170:AB$170)/1000)-SUM(Z171:AA171)</f>
        <v>120.55279118465802</v>
      </c>
      <c r="AC171" s="190">
        <f>SUM(Z171:AB171)</f>
        <v>335.14021824444484</v>
      </c>
      <c r="AD171" s="214">
        <f>IF(AD$170&lt;0,0,($AT171*(SUM(Z$170:AB$170)+AD$170))/1000)-SUM(Z171:AB171)</f>
        <v>126.43854570732259</v>
      </c>
      <c r="AE171" s="214">
        <f>IF(AE$170&lt;0,0,($AT171*(SUM(Z$170:AB$170)+SUM(AD$170:AE$170))/1000)-SUM(Z171:AB171)-AD171)</f>
        <v>113.79469113659025</v>
      </c>
      <c r="AF171" s="214">
        <f>IF(AF$170&lt;0,0,($AT171*(SUM(Z$170:AB$170)+SUM(AD$170:AF$170))/1000)-SUM(Z171:AB171)-SUM(AD171:AE171))</f>
        <v>79.848684802130492</v>
      </c>
      <c r="AG171" s="191">
        <f>SUM(AD171:AF171)</f>
        <v>320.08192164604333</v>
      </c>
      <c r="AH171" s="190">
        <f>AC171+AG171</f>
        <v>655.22213989048817</v>
      </c>
      <c r="AI171" s="214">
        <f>IF(AI$170&lt;0,0,($AT171*(SUM(Z$170:AB$170)+SUM(AD$170:AF$170)+AI$170)/1000)-SUM(Z171:AB171)-SUM(AD171:AF171))</f>
        <v>7.2874925006685771</v>
      </c>
      <c r="AJ171" s="214">
        <f>IF(AJ$170&lt;0,0,($AT171*(SUM(Z$170:AB$170)+SUM(AD$170:AF$170)+SUM(AI$170:AJ$170))/1000)-SUM(Z171:AB171)-SUM(AD171:AF171)-AI171)</f>
        <v>62.434991470544674</v>
      </c>
      <c r="AK171" s="214">
        <f>IF(AK$170&lt;0,0,($AT171*(SUM(Z$170:AB$170)+SUM(AD$170:AF$170)+SUM(AI$170:AK$170))/1000)-SUM(Z171:AB171)-SUM(AD171:AF171)-SUM(AI171:AJ171))</f>
        <v>126.43854570732248</v>
      </c>
      <c r="AL171" s="191">
        <f>SUM(AI171:AK171)</f>
        <v>196.16102967853573</v>
      </c>
      <c r="AM171" s="190">
        <f>AH171+AL171</f>
        <v>851.38316956902395</v>
      </c>
      <c r="AN171" s="214">
        <f>IF(AN$170&lt;0,0,($AT171*(SUM(Z$170:AB$170)+SUM(AD$170:AF$170)+SUM(AI$170:AK$170)+AN$170)/1000)-SUM(Z171:AB171)-SUM(AD171:AF171)-SUM(AI171:AK171))</f>
        <v>130.65316389756686</v>
      </c>
      <c r="AO171" s="214">
        <f>IF(AO$170&lt;0,0,($AT171*(SUM(Z$170:AB$170)+SUM(AD$170:AF$170)+SUM(AI$170:AK$170)+SUM(AN$170:AO$170))/1000)-SUM(Z171:AB171)-SUM(AD171:AF171)-SUM(AI171:AK171)-AN171)</f>
        <v>126.43854570732242</v>
      </c>
      <c r="AP171" s="214">
        <f>IF(AP$170&lt;0,0,($AT171*(SUM(Z$170:AB$170)+SUM(AD$170:AF$170)+SUM(AI$170:AK$170)+SUM(AN$170:AP$170))/1000)-SUM(Z171:AB171)-SUM(AD171:AF171)-SUM(AI171:AK171)-SUM(AN171:AO171))</f>
        <v>130.6531638975668</v>
      </c>
      <c r="AQ171" s="190">
        <f>SUM(AN171:AP171)</f>
        <v>387.74487350245607</v>
      </c>
      <c r="AR171" s="543">
        <f>T183*12/1000</f>
        <v>1239.1280430714801</v>
      </c>
      <c r="AS171" s="215">
        <f>AQ171+AM171-AR171</f>
        <v>0</v>
      </c>
      <c r="AT171" s="193">
        <f>AR171/(AR$153-AR$161)*1000</f>
        <v>4214.6181902440858</v>
      </c>
      <c r="AU171" s="194">
        <f>AC171+AG171+AL171+AQ171-AR171</f>
        <v>0</v>
      </c>
    </row>
    <row r="172" spans="3:54" s="166" customFormat="1" ht="57" customHeight="1">
      <c r="C172" s="159" t="s">
        <v>635</v>
      </c>
      <c r="D172" s="159" t="s">
        <v>513</v>
      </c>
      <c r="E172" s="288">
        <v>0</v>
      </c>
      <c r="F172" s="160">
        <f t="shared" si="58"/>
        <v>0</v>
      </c>
      <c r="G172" s="266">
        <f>E172</f>
        <v>0</v>
      </c>
      <c r="H172" s="266">
        <f t="shared" si="56"/>
        <v>0</v>
      </c>
      <c r="I172" s="298">
        <f>G172-E172</f>
        <v>0</v>
      </c>
      <c r="L172" s="994" t="s">
        <v>636</v>
      </c>
      <c r="M172" s="995"/>
      <c r="N172" s="995"/>
      <c r="O172" s="996"/>
      <c r="P172" s="300"/>
      <c r="Q172" s="300"/>
      <c r="R172" s="301">
        <f>R171</f>
        <v>1822312.3320202592</v>
      </c>
      <c r="S172" s="210">
        <f>S171</f>
        <v>103762.45283993411</v>
      </c>
      <c r="T172" s="210">
        <f>T171</f>
        <v>1926074.7848601933</v>
      </c>
      <c r="U172" s="266">
        <f>T171/(100-E165)*E165</f>
        <v>1393599.0945954998</v>
      </c>
      <c r="V172" s="210">
        <f>T172+U172</f>
        <v>3319673.8794556931</v>
      </c>
      <c r="W172" s="302">
        <f>X172-V172</f>
        <v>199204.09033437306</v>
      </c>
      <c r="X172" s="302">
        <f>X168</f>
        <v>3518877.9697900661</v>
      </c>
      <c r="Y172" s="213" t="s">
        <v>637</v>
      </c>
      <c r="Z172" s="223">
        <f>Z171/Z$165*100</f>
        <v>57.603115006563335</v>
      </c>
      <c r="AA172" s="223">
        <f>AA171/AA$165*100</f>
        <v>34.962994750684139</v>
      </c>
      <c r="AB172" s="223">
        <f>AB171/AB$165*100</f>
        <v>24.804659916201651</v>
      </c>
      <c r="AC172" s="190"/>
      <c r="AD172" s="223">
        <f>AD171/AD$165*100</f>
        <v>25.03066995493597</v>
      </c>
      <c r="AE172" s="223">
        <f>AE171/AE$165*100</f>
        <v>23.935578144407508</v>
      </c>
      <c r="AF172" s="223">
        <f>AF171/AF$165*100</f>
        <v>18.477422653071855</v>
      </c>
      <c r="AG172" s="191"/>
      <c r="AH172" s="176"/>
      <c r="AI172" s="223">
        <f>AI171/AI$165*100</f>
        <v>2.9252036235282319</v>
      </c>
      <c r="AJ172" s="223">
        <f>AJ171/AJ$165*100</f>
        <v>17.133650414546349</v>
      </c>
      <c r="AK172" s="223">
        <f>AK171/AK$165*100</f>
        <v>26.264866076448161</v>
      </c>
      <c r="AL172" s="191"/>
      <c r="AM172" s="176"/>
      <c r="AN172" s="223">
        <f>AN171/AN$165*100</f>
        <v>26.03519026233803</v>
      </c>
      <c r="AO172" s="223">
        <f>AO171/AO$165*100</f>
        <v>27.160939738334751</v>
      </c>
      <c r="AP172" s="223">
        <f>AP171/AP$165*100</f>
        <v>33.300659706433528</v>
      </c>
      <c r="AQ172" s="190"/>
      <c r="AR172" s="544">
        <f>IF((100-P163-AR176-AR178)&gt;60,(100-60-AR176-AR178),P163)</f>
        <v>35</v>
      </c>
      <c r="AS172" s="294"/>
      <c r="AT172" s="202">
        <f>AT171/AT$165*100</f>
        <v>25.531283354034677</v>
      </c>
      <c r="AU172" s="194"/>
    </row>
    <row r="173" spans="3:54" s="166" customFormat="1" ht="71.25" customHeight="1">
      <c r="C173" s="159" t="s">
        <v>638</v>
      </c>
      <c r="D173" s="159" t="s">
        <v>513</v>
      </c>
      <c r="E173" s="295">
        <f>E171-E172</f>
        <v>70</v>
      </c>
      <c r="F173" s="160">
        <f t="shared" si="58"/>
        <v>70</v>
      </c>
      <c r="G173" s="266">
        <f>G171-G172</f>
        <v>65.383006126600833</v>
      </c>
      <c r="H173" s="266">
        <f>H171-H172</f>
        <v>65.383006126600833</v>
      </c>
      <c r="I173" s="298">
        <f>G173-E173</f>
        <v>-4.6169938733991671</v>
      </c>
      <c r="L173" s="983" t="s">
        <v>639</v>
      </c>
      <c r="M173" s="984"/>
      <c r="N173" s="984"/>
      <c r="O173" s="985"/>
      <c r="P173" s="200"/>
      <c r="Q173" s="200"/>
      <c r="R173" s="222">
        <f>R172/E168</f>
        <v>27610.792909397867</v>
      </c>
      <c r="S173" s="222">
        <f>S172/E169</f>
        <v>20752.490567986821</v>
      </c>
      <c r="T173" s="222">
        <f>T172/E170</f>
        <v>27127.813871270329</v>
      </c>
      <c r="U173" s="222">
        <f>U172/E171</f>
        <v>19908.558494221426</v>
      </c>
      <c r="V173" s="222">
        <f>V172/E167</f>
        <v>23543.786379118392</v>
      </c>
      <c r="W173" s="222"/>
      <c r="X173" s="222">
        <f>X172/$E$167</f>
        <v>24956.581346028837</v>
      </c>
      <c r="Y173" s="213" t="s">
        <v>640</v>
      </c>
      <c r="Z173" s="214">
        <f>IF(Z$170&lt;0,0,$AT173*Z$170/1000)</f>
        <v>37.513531797965889</v>
      </c>
      <c r="AA173" s="214">
        <f>IF(AA$170&lt;0,0,$AT173*(SUM(Z$170:AA$170))/1000)-Z173</f>
        <v>42.069915474956936</v>
      </c>
      <c r="AB173" s="214">
        <f>IF(AB$170&lt;0,0,$AT173*SUM(Z$170:AB$170)/1000)-SUM(Z173:AA173)</f>
        <v>44.709081199686935</v>
      </c>
      <c r="AC173" s="190">
        <f>SUM(Z173:AB173)</f>
        <v>124.29252847260976</v>
      </c>
      <c r="AD173" s="214">
        <f>IF(AD$170&lt;0,0,($AT173*(SUM(Z$170:AB$170)+AD$170))/1000)-SUM(Z173:AB173)</f>
        <v>46.891914747457335</v>
      </c>
      <c r="AE173" s="214">
        <f>IF(AE$170&lt;0,0,($AT173*(SUM(Z$170:AB$170)+SUM(AD$170:AE$170))/1000)-SUM(Z173:AB173)-AD173)</f>
        <v>42.202723272711637</v>
      </c>
      <c r="AF173" s="214">
        <f>IF(AF$170&lt;0,0,($AT173*(SUM(Z$170:AB$170)+SUM(AD$170:AF$170))/1000)-SUM(Z173:AB173)-SUM(AD173:AE173))</f>
        <v>29.613261521571332</v>
      </c>
      <c r="AG173" s="191">
        <f>SUM(AD173:AF173)</f>
        <v>118.7078995417403</v>
      </c>
      <c r="AH173" s="190">
        <f>AC173+AG173</f>
        <v>243.00042801435006</v>
      </c>
      <c r="AI173" s="214">
        <f>IF(AI$170&lt;0,0,($AT173*(SUM(Z$170:AB$170)+SUM(AD$170:AF$170)+AI$170)/1000)-SUM(Z173:AB173)-SUM(AD173:AF173))</f>
        <v>2.7026922458844638</v>
      </c>
      <c r="AJ173" s="214">
        <f>IF(AJ$170&lt;0,0,($AT173*(SUM(Z$170:AB$170)+SUM(AD$170:AF$170)+SUM(AI$170:AJ$170))/1000)-SUM(Z173:AB173)-SUM(AD173:AF173)-AI173)</f>
        <v>23.155093100105532</v>
      </c>
      <c r="AK173" s="214">
        <f>IF(AK$170&lt;0,0,($AT173*(SUM(Z$170:AB$170)+SUM(AD$170:AF$170)+SUM(AI$170:AK$170))/1000)-SUM(Z173:AB173)-SUM(AD173:AF173)-SUM(AI173:AJ173))</f>
        <v>46.891914747457406</v>
      </c>
      <c r="AL173" s="191">
        <f>SUM(AI173:AK173)</f>
        <v>72.749700093447402</v>
      </c>
      <c r="AM173" s="190">
        <f>AH173+AL173</f>
        <v>315.75012810779748</v>
      </c>
      <c r="AN173" s="214">
        <f>IF(AN$170&lt;0,0,($AT173*(SUM(Z$170:AB$170)+SUM(AD$170:AF$170)+SUM(AI$170:AK$170)+AN$170)/1000)-SUM(Z173:AB173)-SUM(AD173:AF173)-SUM(AI173:AK173))</f>
        <v>48.454978572372568</v>
      </c>
      <c r="AO173" s="214">
        <f>IF(AO$170&lt;0,0,($AT173*(SUM(Z$170:AB$170)+SUM(AD$170:AF$170)+SUM(AI$170:AK$170)+SUM(AN$170:AO$170))/1000)-SUM(Z173:AB173)-SUM(AD173:AF173)-SUM(AI173:AK173)-AN173)</f>
        <v>46.891914747457363</v>
      </c>
      <c r="AP173" s="214">
        <f>IF(AP$170&lt;0,0,($AT173*(SUM(Z$170:AB$170)+SUM(AD$170:AF$170)+SUM(AI$170:AK$170)+SUM(AN$170:AP$170))/1000)-SUM(Z173:AB173)-SUM(AD173:AF173)-SUM(AI173:AK173)-SUM(AN173:AO173))</f>
        <v>48.45497857237261</v>
      </c>
      <c r="AQ173" s="190">
        <f>SUM(AN173:AP173)</f>
        <v>143.80187189220254</v>
      </c>
      <c r="AR173" s="545">
        <f>T184*12/1000</f>
        <v>459.55200000000002</v>
      </c>
      <c r="AS173" s="215">
        <f>AQ173+AM173-AR173</f>
        <v>0</v>
      </c>
      <c r="AT173" s="202">
        <f>AR173/(AR$153-AR$161)*1000</f>
        <v>1563.0638249152453</v>
      </c>
      <c r="AU173" s="194">
        <f>AC173+AG173+AL173+AQ173-AR173</f>
        <v>0</v>
      </c>
    </row>
    <row r="174" spans="3:54" s="166" customFormat="1" ht="37.5" customHeight="1">
      <c r="C174" s="179" t="s">
        <v>641</v>
      </c>
      <c r="D174" s="159"/>
      <c r="E174" s="152"/>
      <c r="F174" s="160"/>
      <c r="G174" s="153"/>
      <c r="H174" s="153"/>
      <c r="I174" s="153"/>
      <c r="L174" s="983" t="s">
        <v>642</v>
      </c>
      <c r="M174" s="984"/>
      <c r="N174" s="984"/>
      <c r="O174" s="985"/>
      <c r="P174" s="231"/>
      <c r="Q174" s="231"/>
      <c r="R174" s="200">
        <f>R173/E164*100</f>
        <v>99.41849559182144</v>
      </c>
      <c r="S174" s="303">
        <f>S173/E166*100</f>
        <v>100</v>
      </c>
      <c r="T174" s="222">
        <f>(R174*R173/100+S174*S173/100)/(R173+S173)*100</f>
        <v>99.668016796303178</v>
      </c>
      <c r="U174" s="296">
        <f>(U172/E171)/((F161*1000-(E162*E168+E166*E169))/E171)*100</f>
        <v>93.404294466572622</v>
      </c>
      <c r="V174" s="222">
        <f>(T174*T173/100+U174*U173/100)/(T173+U173)*100</f>
        <v>97.016841203423297</v>
      </c>
      <c r="W174" s="231"/>
      <c r="X174" s="231"/>
      <c r="Y174" s="213" t="s">
        <v>643</v>
      </c>
      <c r="Z174" s="223">
        <f>Z173/Z$165*100</f>
        <v>21.36310840151744</v>
      </c>
      <c r="AA174" s="223">
        <f>AA173/AA$165*100</f>
        <v>12.966629440360059</v>
      </c>
      <c r="AB174" s="223">
        <f>AB173/AB$165*100</f>
        <v>9.1992358154973495</v>
      </c>
      <c r="AC174" s="202"/>
      <c r="AD174" s="223">
        <f>AD173/AD$165*100</f>
        <v>9.2830555352601074</v>
      </c>
      <c r="AE174" s="223">
        <f>AE173/AE$165*100</f>
        <v>8.8769218555924869</v>
      </c>
      <c r="AF174" s="223">
        <f>AF173/AF$165*100</f>
        <v>6.8526707813154069</v>
      </c>
      <c r="AG174" s="223"/>
      <c r="AH174" s="178"/>
      <c r="AI174" s="223">
        <f>AI173/AI$165*100</f>
        <v>1.0848622005741446</v>
      </c>
      <c r="AJ174" s="223">
        <f>AJ173/AJ$165*100</f>
        <v>6.3543096771407539</v>
      </c>
      <c r="AK174" s="223">
        <f>AK173/AK$165*100</f>
        <v>9.740778447112957</v>
      </c>
      <c r="AL174" s="223"/>
      <c r="AM174" s="178"/>
      <c r="AN174" s="223">
        <f>AN173/AN$165*100</f>
        <v>9.6555992113461997</v>
      </c>
      <c r="AO174" s="223">
        <f>AO173/AO$165*100</f>
        <v>10.073102814856725</v>
      </c>
      <c r="AP174" s="223">
        <f>AP173/AP$165*100</f>
        <v>12.350123826975757</v>
      </c>
      <c r="AQ174" s="190"/>
      <c r="AR174" s="544">
        <f>AR173/AR165*100</f>
        <v>9.4687166459653138</v>
      </c>
      <c r="AS174" s="294"/>
      <c r="AT174" s="202">
        <f>AT173/AT$165*100</f>
        <v>9.4687166459653138</v>
      </c>
      <c r="AU174" s="194">
        <f>AC174+AG174+AL174+AQ174-AR174</f>
        <v>-9.4687166459653138</v>
      </c>
    </row>
    <row r="175" spans="3:54" s="166" customFormat="1" ht="66.75" customHeight="1">
      <c r="C175" s="159" t="s">
        <v>644</v>
      </c>
      <c r="D175" s="159" t="s">
        <v>645</v>
      </c>
      <c r="E175" s="186">
        <v>6237</v>
      </c>
      <c r="F175" s="160"/>
      <c r="G175" s="153"/>
      <c r="H175" s="153"/>
      <c r="I175" s="153"/>
      <c r="L175" s="989" t="s">
        <v>646</v>
      </c>
      <c r="M175" s="990"/>
      <c r="N175" s="990"/>
      <c r="O175" s="991"/>
      <c r="P175" s="304"/>
      <c r="Q175" s="304"/>
      <c r="R175" s="304"/>
      <c r="S175" s="304"/>
      <c r="T175" s="304"/>
      <c r="U175" s="305">
        <f>U172/((F161*1000-(E162*E168+E166*E169))/E171)</f>
        <v>65.383006126600833</v>
      </c>
      <c r="V175" s="304"/>
      <c r="W175" s="304"/>
      <c r="X175" s="304"/>
      <c r="Y175" s="213" t="s">
        <v>647</v>
      </c>
      <c r="Z175" s="214">
        <f>IF(Z$170&lt;0,0,$AT175*Z$170/1000)</f>
        <v>0</v>
      </c>
      <c r="AA175" s="214">
        <f>IF(AA$170&lt;0,0,$AT175*(SUM(Z$170:AA$170))/1000)-Z175</f>
        <v>0</v>
      </c>
      <c r="AB175" s="214">
        <f>IF(AB$170&lt;0,0,$AT175*SUM(Z$170:AB$170)/1000)-SUM(Z175:AA175)</f>
        <v>0</v>
      </c>
      <c r="AC175" s="190">
        <f>SUM(Z175:AB175)</f>
        <v>0</v>
      </c>
      <c r="AD175" s="214">
        <f>IF(AD$170&lt;0,0,($AT175*(SUM(Z$170:AB$170)+AD$170))/1000)-SUM(Z175:AB175)</f>
        <v>0</v>
      </c>
      <c r="AE175" s="214">
        <f>IF(AE$170&lt;0,0,($AT175*(SUM(Z$170:AB$170)+SUM(AD$170:AE$170))/1000)-SUM(Z175:AB175)-AD175)</f>
        <v>0</v>
      </c>
      <c r="AF175" s="214">
        <f>IF(AF$170&lt;0,0,($AT175*(SUM(Z$170:AB$170)+SUM(AD$170:AF$170))/1000)-SUM(Z175:AB175)-SUM(AD175:AE175))</f>
        <v>0</v>
      </c>
      <c r="AG175" s="191">
        <f>SUM(AD175:AF175)</f>
        <v>0</v>
      </c>
      <c r="AH175" s="190">
        <f>AC175+AG175</f>
        <v>0</v>
      </c>
      <c r="AI175" s="214">
        <f>IF(AI$170&lt;0,0,($AT175*(SUM(Z$170:AB$170)+SUM(AD$170:AF$170)+AI$170)/1000)-SUM(Z175:AB175)-SUM(AD175:AF175))</f>
        <v>0</v>
      </c>
      <c r="AJ175" s="214">
        <f>IF(AJ$170&lt;0,0,($AT175*(SUM(Z$170:AB$170)+SUM(AD$170:AF$170)+SUM(AI$170:AJ$170))/1000)-SUM(Z175:AB175)-SUM(AD175:AF175)-AI175)</f>
        <v>0</v>
      </c>
      <c r="AK175" s="214">
        <f>IF(AK$170&lt;0,0,($AT175*(SUM(Z$170:AB$170)+SUM(AD$170:AF$170)+SUM(AI$170:AK$170))/1000)-SUM(Z175:AB175)-SUM(AD175:AF175)-SUM(AI175:AJ175))</f>
        <v>0</v>
      </c>
      <c r="AL175" s="191">
        <f>SUM(AI175:AK175)</f>
        <v>0</v>
      </c>
      <c r="AM175" s="190">
        <f>AH175+AL175</f>
        <v>0</v>
      </c>
      <c r="AN175" s="214">
        <f>IF(AN$170&lt;0,0,($AT175*(SUM(Z$170:AB$170)+SUM(AD$170:AF$170)+SUM(AI$170:AK$170)+AN$170)/1000)-SUM(Z175:AB175)-SUM(AD175:AF175)-SUM(AI175:AK175))</f>
        <v>0</v>
      </c>
      <c r="AO175" s="214">
        <f>IF(AO$170&lt;0,0,($AT175*(SUM(Z$170:AB$170)+SUM(AD$170:AF$170)+SUM(AI$170:AK$170)+SUM(AN$170:AO$170))/1000)-SUM(Z175:AB175)-SUM(AD175:AF175)-SUM(AI175:AK175)-AN175)</f>
        <v>0</v>
      </c>
      <c r="AP175" s="214">
        <f>IF(AP$170&lt;0,0,($AT175*(SUM(Z$170:AB$170)+SUM(AD$170:AF$170)+SUM(AI$170:AK$170)+SUM(AN$170:AP$170))/1000)-SUM(Z175:AB175)-SUM(AD175:AF175)-SUM(AI175:AK175)-SUM(AN175:AO175))</f>
        <v>0</v>
      </c>
      <c r="AQ175" s="190">
        <f>SUM(AN175:AP175)</f>
        <v>0</v>
      </c>
      <c r="AR175" s="533">
        <f>T185*12/1000</f>
        <v>0</v>
      </c>
      <c r="AS175" s="215">
        <f>AQ175+AM175-AR175</f>
        <v>0</v>
      </c>
      <c r="AT175" s="193">
        <f>AR175/AR$153*1000</f>
        <v>0</v>
      </c>
      <c r="AU175" s="194">
        <f>AC175+AG175+AL175+AQ175-AR175</f>
        <v>0</v>
      </c>
    </row>
    <row r="176" spans="3:54" s="166" customFormat="1" ht="69" customHeight="1">
      <c r="C176" s="159" t="s">
        <v>648</v>
      </c>
      <c r="D176" s="159" t="s">
        <v>645</v>
      </c>
      <c r="E176" s="225">
        <f>3674+280</f>
        <v>3954</v>
      </c>
      <c r="F176" s="160">
        <f>E179/12</f>
        <v>77.155329554238705</v>
      </c>
      <c r="G176" s="153"/>
      <c r="H176" s="153"/>
      <c r="I176" s="153"/>
      <c r="L176" s="989" t="s">
        <v>649</v>
      </c>
      <c r="M176" s="990"/>
      <c r="N176" s="990"/>
      <c r="O176" s="991"/>
      <c r="P176" s="304"/>
      <c r="Q176" s="304"/>
      <c r="R176" s="304"/>
      <c r="S176" s="304"/>
      <c r="T176" s="304"/>
      <c r="U176" s="306">
        <f>U175-E173</f>
        <v>-4.6169938733991671</v>
      </c>
      <c r="V176" s="304"/>
      <c r="W176" s="304"/>
      <c r="X176" s="304"/>
      <c r="Y176" s="213" t="s">
        <v>650</v>
      </c>
      <c r="Z176" s="223">
        <f>Z175/Z$165*100</f>
        <v>0</v>
      </c>
      <c r="AA176" s="223">
        <f>AA175/AA$165*100</f>
        <v>0</v>
      </c>
      <c r="AB176" s="223">
        <f>AB175/AB$165*100</f>
        <v>0</v>
      </c>
      <c r="AC176" s="202"/>
      <c r="AD176" s="223">
        <f>AD175/AD$165*100</f>
        <v>0</v>
      </c>
      <c r="AE176" s="223">
        <f>AE175/AE$165*100</f>
        <v>0</v>
      </c>
      <c r="AF176" s="223">
        <f>AF175/AF$165*100</f>
        <v>0</v>
      </c>
      <c r="AG176" s="223"/>
      <c r="AH176" s="178"/>
      <c r="AI176" s="223">
        <f>AI175/AI$165*100</f>
        <v>0</v>
      </c>
      <c r="AJ176" s="223">
        <f>AJ175/AJ$165*100</f>
        <v>0</v>
      </c>
      <c r="AK176" s="223">
        <f>AK175/AK$165*100</f>
        <v>0</v>
      </c>
      <c r="AL176" s="223"/>
      <c r="AM176" s="178"/>
      <c r="AN176" s="223">
        <f>AN175/AN$165*100</f>
        <v>0</v>
      </c>
      <c r="AO176" s="223">
        <f>AO175/AO$165*100</f>
        <v>0</v>
      </c>
      <c r="AP176" s="223">
        <f>AP175/AP$165*100</f>
        <v>0</v>
      </c>
      <c r="AQ176" s="190"/>
      <c r="AR176" s="544">
        <f>AR175/AR165*100</f>
        <v>0</v>
      </c>
      <c r="AS176" s="294"/>
      <c r="AT176" s="178"/>
      <c r="AU176" s="194"/>
    </row>
    <row r="177" spans="2:49" s="166" customFormat="1" ht="72.75" customHeight="1">
      <c r="C177" s="159" t="s">
        <v>651</v>
      </c>
      <c r="D177" s="159" t="s">
        <v>645</v>
      </c>
      <c r="E177" s="152">
        <f>E175-E176</f>
        <v>2283</v>
      </c>
      <c r="F177" s="160">
        <f>E177</f>
        <v>2283</v>
      </c>
      <c r="G177" s="153"/>
      <c r="H177" s="153"/>
      <c r="I177" s="153"/>
      <c r="L177" s="999" t="s">
        <v>652</v>
      </c>
      <c r="M177" s="1000"/>
      <c r="N177" s="1000"/>
      <c r="O177" s="1001"/>
      <c r="P177" s="307"/>
      <c r="Q177" s="307"/>
      <c r="R177" s="305">
        <f>R172/E168</f>
        <v>27610.792909397867</v>
      </c>
      <c r="S177" s="305">
        <f>S172/E169</f>
        <v>20752.490567986821</v>
      </c>
      <c r="T177" s="305">
        <f>T172/E170</f>
        <v>27127.813871270329</v>
      </c>
      <c r="U177" s="305">
        <f>U172/U175</f>
        <v>21314.393099287601</v>
      </c>
      <c r="V177" s="305">
        <f>V172/(E167+U176)</f>
        <v>24340.817626311342</v>
      </c>
      <c r="W177" s="307"/>
      <c r="X177" s="308"/>
      <c r="Y177" s="213" t="s">
        <v>653</v>
      </c>
      <c r="Z177" s="214">
        <f>IF(Z$170&lt;0,0,$AT177*Z$170/1000)</f>
        <v>19.809195480546279</v>
      </c>
      <c r="AA177" s="214">
        <f>IF(AA$170&lt;0,0,$AT177*(SUM(Z$170:AA$170))/1000)-Z177</f>
        <v>22.21521513841224</v>
      </c>
      <c r="AB177" s="214">
        <f>IF(AB$170&lt;0,0,$AT177*SUM(Z$170:AB$170)/1000)-SUM(Z177:AA177)</f>
        <v>23.608838912049272</v>
      </c>
      <c r="AC177" s="190">
        <f>SUM(Z177:AB177)</f>
        <v>65.633249531007792</v>
      </c>
      <c r="AD177" s="214">
        <f>IF(AD$170&lt;0,0,($AT177*(SUM(Z$170:AB$170)+AD$170))/1000)-SUM(Z177:AB177)</f>
        <v>24.761494350682852</v>
      </c>
      <c r="AE177" s="214">
        <f>IF(AE$170&lt;0,0,($AT177*(SUM(Z$170:AB$170)+SUM(AD$170:AE$170))/1000)-SUM(Z177:AB177)-AD177)</f>
        <v>22.285344915614559</v>
      </c>
      <c r="AF177" s="214">
        <f>IF(AF$170&lt;0,0,($AT177*(SUM(Z$170:AB$170)+SUM(AD$170:AF$170))/1000)-SUM(Z177:AB177)-SUM(AD177:AE177))</f>
        <v>15.637420903385973</v>
      </c>
      <c r="AG177" s="191">
        <f>SUM(AD177:AF177)</f>
        <v>62.684260169683384</v>
      </c>
      <c r="AH177" s="190">
        <f>AC177+AG177</f>
        <v>128.31750970069118</v>
      </c>
      <c r="AI177" s="214">
        <f>IF(AI$170&lt;0,0,($AT177*(SUM(Z$170:AB$170)+SUM(AD$170:AF$170)+AI$170)/1000)-SUM(Z177:AB177)-SUM(AD177:AF177))</f>
        <v>1.4271692495075854</v>
      </c>
      <c r="AJ177" s="214">
        <f>IF(AJ$170&lt;0,0,($AT177*(SUM(Z$170:AB$170)+SUM(AD$170:AF$170)+SUM(AI$170:AJ$170))/1000)-SUM(Z177:AB177)-SUM(AD177:AF177)-AI177)</f>
        <v>12.227154938664341</v>
      </c>
      <c r="AK177" s="214">
        <f>IF(AK$170&lt;0,0,($AT177*(SUM(Z$170:AB$170)+SUM(AD$170:AF$170)+SUM(AI$170:AK$170))/1000)-SUM(Z177:AB177)-SUM(AD177:AF177)-SUM(AI177:AJ177))</f>
        <v>24.761494350682824</v>
      </c>
      <c r="AL177" s="191">
        <f>SUM(AI177:AK177)</f>
        <v>38.415818538854751</v>
      </c>
      <c r="AM177" s="190">
        <f>AH177+AL177</f>
        <v>166.73332823954593</v>
      </c>
      <c r="AN177" s="214">
        <f>IF(AN$170&lt;0,0,($AT177*(SUM(Z$170:AB$170)+SUM(AD$170:AF$170)+SUM(AI$170:AK$170)+AN$170)/1000)-SUM(Z177:AB177)-SUM(AD177:AF177)-SUM(AI177:AK177))</f>
        <v>25.586877495705608</v>
      </c>
      <c r="AO177" s="214">
        <f>IF(AO$170&lt;0,0,($AT177*(SUM(Z$170:AB$170)+SUM(AD$170:AF$170)+SUM(AI$170:AK$170)+SUM(AN$170:AO$170))/1000)-SUM(Z177:AB177)-SUM(AD177:AF177)-SUM(AI177:AK177)-AN177)</f>
        <v>24.761494350682838</v>
      </c>
      <c r="AP177" s="214">
        <f>IF(AP$170&lt;0,0,($AT177*(SUM(Z$170:AB$170)+SUM(AD$170:AF$170)+SUM(AI$170:AK$170)+SUM(AN$170:AP$170))/1000)-SUM(Z177:AB177)-SUM(AD177:AF177)-SUM(AI177:AK177)-SUM(AN177:AO177))</f>
        <v>25.586877495705608</v>
      </c>
      <c r="AQ177" s="190">
        <f>SUM(AN177:AP177)</f>
        <v>75.935249342094053</v>
      </c>
      <c r="AR177" s="545">
        <f>T187*12/1000</f>
        <v>242.66857758163999</v>
      </c>
      <c r="AS177" s="215">
        <f>AQ177+AM177-AR177</f>
        <v>0</v>
      </c>
      <c r="AT177" s="193">
        <f>AR177/(AR$153-AR$161)*1000</f>
        <v>825.3831450227616</v>
      </c>
      <c r="AU177" s="194">
        <f>AC177+AG177+AL177+AQ177-AR177</f>
        <v>0</v>
      </c>
    </row>
    <row r="178" spans="2:49" s="166" customFormat="1" ht="39.75" customHeight="1">
      <c r="C178" s="159" t="s">
        <v>654</v>
      </c>
      <c r="D178" s="159" t="s">
        <v>655</v>
      </c>
      <c r="E178" s="160">
        <f>V172/E167/29.3</f>
        <v>803.54219723953554</v>
      </c>
      <c r="F178" s="160">
        <f>E178</f>
        <v>803.54219723953554</v>
      </c>
      <c r="G178" s="239"/>
      <c r="H178" s="153"/>
      <c r="I178" s="153"/>
      <c r="L178" s="994" t="s">
        <v>656</v>
      </c>
      <c r="M178" s="995"/>
      <c r="N178" s="995"/>
      <c r="O178" s="996"/>
      <c r="P178" s="309"/>
      <c r="Q178" s="309"/>
      <c r="R178" s="309">
        <f>R173/R177*100</f>
        <v>100</v>
      </c>
      <c r="S178" s="309">
        <f>S173/S177*100</f>
        <v>100</v>
      </c>
      <c r="T178" s="310">
        <f>(R174*R173/100+S174*S173/100)/(R177+S177)*100</f>
        <v>99.668016796303178</v>
      </c>
      <c r="U178" s="310">
        <f>U177/((F161*1000-(E162*E168+E166*E169))/E171)*100</f>
        <v>100</v>
      </c>
      <c r="V178" s="310">
        <f>(T177*T178/100+U177*U178/100)/(T177+U177)*100</f>
        <v>99.814088186284536</v>
      </c>
      <c r="W178" s="307"/>
      <c r="X178" s="308"/>
      <c r="Y178" s="213" t="s">
        <v>657</v>
      </c>
      <c r="Z178" s="223">
        <f t="shared" ref="Z178:AQ178" si="60">Z177/Z$165*100</f>
        <v>11.280889058297253</v>
      </c>
      <c r="AA178" s="223">
        <f t="shared" si="60"/>
        <v>6.8470891701491707</v>
      </c>
      <c r="AB178" s="223">
        <f t="shared" si="60"/>
        <v>4.857699390242713</v>
      </c>
      <c r="AC178" s="223">
        <f t="shared" si="60"/>
        <v>6.6561393670983531</v>
      </c>
      <c r="AD178" s="223">
        <f t="shared" si="60"/>
        <v>4.9019607843137258</v>
      </c>
      <c r="AE178" s="223">
        <f t="shared" si="60"/>
        <v>4.6875</v>
      </c>
      <c r="AF178" s="223">
        <f t="shared" si="60"/>
        <v>3.618584776341037</v>
      </c>
      <c r="AG178" s="223">
        <f t="shared" si="60"/>
        <v>4.4372046454404357</v>
      </c>
      <c r="AH178" s="223">
        <f t="shared" si="60"/>
        <v>5.349342573767176</v>
      </c>
      <c r="AI178" s="223">
        <f t="shared" si="60"/>
        <v>0.57286654630034284</v>
      </c>
      <c r="AJ178" s="223">
        <f t="shared" si="60"/>
        <v>3.3554228702410218</v>
      </c>
      <c r="AK178" s="223">
        <f t="shared" si="60"/>
        <v>5.1436635033658709</v>
      </c>
      <c r="AL178" s="223">
        <f t="shared" si="60"/>
        <v>3.5085325021026756</v>
      </c>
      <c r="AM178" s="223">
        <f t="shared" si="60"/>
        <v>4.7724291559258694</v>
      </c>
      <c r="AN178" s="223">
        <f t="shared" si="60"/>
        <v>5.0986842105263133</v>
      </c>
      <c r="AO178" s="223">
        <f t="shared" si="60"/>
        <v>5.3191489361702136</v>
      </c>
      <c r="AP178" s="223">
        <f t="shared" si="60"/>
        <v>6.5215405047727497</v>
      </c>
      <c r="AQ178" s="191">
        <f t="shared" si="60"/>
        <v>5.5847344084756463</v>
      </c>
      <c r="AR178" s="533">
        <f>AR231</f>
        <v>5.0000000000000027</v>
      </c>
      <c r="AS178" s="294"/>
      <c r="AT178" s="178"/>
      <c r="AU178" s="194"/>
    </row>
    <row r="179" spans="2:49" s="166" customFormat="1" ht="72" customHeight="1">
      <c r="C179" s="159" t="s">
        <v>658</v>
      </c>
      <c r="D179" s="159" t="s">
        <v>655</v>
      </c>
      <c r="E179" s="160">
        <f>T171/29.3/E170</f>
        <v>925.86395465086446</v>
      </c>
      <c r="F179" s="160">
        <f>E179</f>
        <v>925.86395465086446</v>
      </c>
      <c r="G179" s="153"/>
      <c r="H179" s="153"/>
      <c r="I179" s="153"/>
      <c r="L179" s="1002" t="s">
        <v>659</v>
      </c>
      <c r="M179" s="1003"/>
      <c r="N179" s="1003"/>
      <c r="O179" s="1004"/>
      <c r="P179" s="311">
        <f>P182+P183+P184+P185+P187</f>
        <v>1.0000000000000002</v>
      </c>
      <c r="Q179" s="312"/>
      <c r="R179" s="312"/>
      <c r="S179" s="313"/>
      <c r="T179" s="210">
        <f>T172-T$157-T$158</f>
        <v>404447.62930273329</v>
      </c>
      <c r="U179" s="210">
        <f>U172-U157-U158</f>
        <v>580104.70098029065</v>
      </c>
      <c r="V179" s="210">
        <f>T179+U179</f>
        <v>984552.33028302388</v>
      </c>
      <c r="W179" s="312"/>
      <c r="X179" s="248">
        <f>T179+U179+W179</f>
        <v>984552.33028302388</v>
      </c>
      <c r="Y179" s="546" t="s">
        <v>660</v>
      </c>
      <c r="Z179" s="547">
        <f>Z157+Z165+Z164</f>
        <v>1367.2977883831545</v>
      </c>
      <c r="AA179" s="547">
        <f>AA157+AA165+AA164</f>
        <v>1666.4443058897723</v>
      </c>
      <c r="AB179" s="547">
        <f>AB157+AB165+AB164</f>
        <v>1932.2131636811305</v>
      </c>
      <c r="AC179" s="547">
        <f>SUM(Z179:AB179)</f>
        <v>4965.9552579540577</v>
      </c>
      <c r="AD179" s="547">
        <f>AD157+AD165+AD164</f>
        <v>1994.7572266847972</v>
      </c>
      <c r="AE179" s="547">
        <f>AE157+AE165+AE164</f>
        <v>1816.0811592708915</v>
      </c>
      <c r="AF179" s="547">
        <f>AF157+AF165+AF164</f>
        <v>4061.5285994069441</v>
      </c>
      <c r="AG179" s="548">
        <f>SUM(AD179:AF179)</f>
        <v>7872.3669853626325</v>
      </c>
      <c r="AH179" s="547">
        <f>AC179+AG179</f>
        <v>12838.32224331669</v>
      </c>
      <c r="AI179" s="547">
        <f>AI157+AI165+AI164</f>
        <v>472.00823146493838</v>
      </c>
      <c r="AJ179" s="547">
        <f>AJ157+AJ165+AJ164</f>
        <v>1903.6766544988227</v>
      </c>
      <c r="AK179" s="547">
        <f>AK157+AK165+AK164</f>
        <v>1971.02076368092</v>
      </c>
      <c r="AL179" s="548">
        <f>SUM(AI179:AK179)</f>
        <v>4346.7056496446812</v>
      </c>
      <c r="AM179" s="547">
        <f>AH179+AL179</f>
        <v>17185.027892961371</v>
      </c>
      <c r="AN179" s="547">
        <f>AN157+AN165+AN164</f>
        <v>2041.1097855024036</v>
      </c>
      <c r="AO179" s="547">
        <f>AO157+AO165+AO164</f>
        <v>1955.1388357237033</v>
      </c>
      <c r="AP179" s="547">
        <f>AP157+AP165+AP164</f>
        <v>1931.6209041348388</v>
      </c>
      <c r="AQ179" s="547">
        <f>SUM(AN179:AP179)</f>
        <v>5927.8695253609458</v>
      </c>
      <c r="AR179" s="545">
        <f>AM179+AQ179</f>
        <v>23112.897418322318</v>
      </c>
      <c r="AS179" s="549">
        <f>AQ179+AM179-AR179</f>
        <v>0</v>
      </c>
      <c r="AT179" s="550">
        <f>AR179/(AR$153-AR$161)*1000</f>
        <v>78613.3752949755</v>
      </c>
      <c r="AU179" s="551">
        <f>AC179+AG179+AL179+AQ179-AR179</f>
        <v>0</v>
      </c>
    </row>
    <row r="180" spans="2:49" s="166" customFormat="1" ht="53.25" customHeight="1">
      <c r="C180" s="159" t="s">
        <v>661</v>
      </c>
      <c r="D180" s="159" t="s">
        <v>655</v>
      </c>
      <c r="E180" s="160">
        <f>U171/29.3/E171</f>
        <v>679.47298615090187</v>
      </c>
      <c r="F180" s="160">
        <f>E180</f>
        <v>679.47298615090187</v>
      </c>
      <c r="G180" s="153"/>
      <c r="H180" s="153"/>
      <c r="I180" s="153"/>
      <c r="L180" s="1005" t="s">
        <v>662</v>
      </c>
      <c r="M180" s="1006"/>
      <c r="N180" s="1006"/>
      <c r="O180" s="1007"/>
      <c r="P180" s="314"/>
      <c r="Q180" s="231"/>
      <c r="R180" s="231"/>
      <c r="S180" s="232"/>
      <c r="T180" s="296">
        <f>IF(T$155=0,0,T179/T$155*100)</f>
        <v>37.777673269621353</v>
      </c>
      <c r="U180" s="297">
        <f>IF(U155=0,0,U179/U155*100)</f>
        <v>93.565387535596329</v>
      </c>
      <c r="V180" s="297">
        <f>IF(V155=0,0,V179/V155*100)</f>
        <v>58.236897195800012</v>
      </c>
      <c r="W180" s="231"/>
      <c r="X180" s="315">
        <f>IF($X$155=0,0,X179/$X$155*100)</f>
        <v>58.236897195800012</v>
      </c>
      <c r="Y180" s="213" t="s">
        <v>663</v>
      </c>
      <c r="Z180" s="193">
        <f>Z179/$G$170*1000</f>
        <v>19362.379327862815</v>
      </c>
      <c r="AA180" s="193">
        <f>AA179/$G$170*1000</f>
        <v>23598.609647098259</v>
      </c>
      <c r="AB180" s="193">
        <f>AB179/$G$170*1000</f>
        <v>27362.177087790322</v>
      </c>
      <c r="AC180" s="193">
        <f>AC179/$G$170*1000/3</f>
        <v>23441.055354250464</v>
      </c>
      <c r="AD180" s="193">
        <f>AD179/$G$170*1000</f>
        <v>28247.867010550137</v>
      </c>
      <c r="AE180" s="193">
        <f>AE179/$G$170*1000</f>
        <v>25717.625373744861</v>
      </c>
      <c r="AF180" s="193">
        <f>AF179/$G$170*1000</f>
        <v>57515.530311560258</v>
      </c>
      <c r="AG180" s="193">
        <f>AG179/$G$170*1000/3</f>
        <v>37160.340898618415</v>
      </c>
      <c r="AH180" s="193">
        <f>AH179/$G$170*1000/3/2</f>
        <v>30300.698126434439</v>
      </c>
      <c r="AI180" s="193">
        <f>AI179/$G$170*1000</f>
        <v>6684.1345763493273</v>
      </c>
      <c r="AJ180" s="193">
        <f>AJ179/$G$170*1000</f>
        <v>26958.070008721421</v>
      </c>
      <c r="AK180" s="193">
        <f>AK179/$G$170*1000</f>
        <v>27911.733649926242</v>
      </c>
      <c r="AL180" s="193">
        <f>AL179/$G$170*1000/3</f>
        <v>20517.979411665663</v>
      </c>
      <c r="AM180" s="193">
        <f>AM179/$G$170*1000/3/3</f>
        <v>27039.791888178181</v>
      </c>
      <c r="AN180" s="193">
        <f>AN179/$G$170*1000</f>
        <v>28904.268150279084</v>
      </c>
      <c r="AO180" s="193">
        <f>AO179/$G$170*1000</f>
        <v>27686.828792931588</v>
      </c>
      <c r="AP180" s="193">
        <f>AP179/$G$170*1000</f>
        <v>27353.790067718121</v>
      </c>
      <c r="AQ180" s="316">
        <f>AQ179/$G$170*1000/3</f>
        <v>27981.629003642931</v>
      </c>
      <c r="AR180" s="552">
        <f>AR179/$G$170/12*1000</f>
        <v>27275.251167044371</v>
      </c>
      <c r="AS180" s="317"/>
      <c r="AT180" s="178"/>
      <c r="AU180" s="318"/>
    </row>
    <row r="181" spans="2:49" ht="52.5" customHeight="1">
      <c r="C181" s="159" t="s">
        <v>664</v>
      </c>
      <c r="D181" s="159" t="s">
        <v>553</v>
      </c>
      <c r="E181" s="319">
        <f>E182+E183</f>
        <v>5212102.9040720267</v>
      </c>
      <c r="F181" s="319">
        <f>E181/12</f>
        <v>434341.90867266891</v>
      </c>
      <c r="G181" s="169">
        <f>G182+G183</f>
        <v>5212.1029040720259</v>
      </c>
      <c r="H181" s="153"/>
      <c r="I181" s="153"/>
      <c r="L181" s="983" t="s">
        <v>665</v>
      </c>
      <c r="M181" s="984"/>
      <c r="N181" s="984"/>
      <c r="O181" s="985"/>
      <c r="P181" s="314">
        <f>V181/V179</f>
        <v>0.60000000000000009</v>
      </c>
      <c r="Q181" s="320"/>
      <c r="R181" s="320"/>
      <c r="S181" s="321"/>
      <c r="T181" s="222">
        <f>T179*$P$161</f>
        <v>242668.57758163995</v>
      </c>
      <c r="U181" s="222">
        <f>U179*$P$161</f>
        <v>348062.82058817439</v>
      </c>
      <c r="V181" s="222">
        <f t="shared" ref="V181:V187" si="61">T181+U181</f>
        <v>590731.39816981438</v>
      </c>
      <c r="W181" s="231"/>
      <c r="X181" s="322">
        <f t="shared" ref="X181:X187" si="62">T181+U181+W181</f>
        <v>590731.39816981438</v>
      </c>
      <c r="Y181" s="553" t="s">
        <v>666</v>
      </c>
      <c r="Z181" s="223">
        <f t="shared" ref="Z181:AR181" si="63">Z180/$E$162*100</f>
        <v>66.450612011335082</v>
      </c>
      <c r="AA181" s="223">
        <f t="shared" si="63"/>
        <v>80.989119524669704</v>
      </c>
      <c r="AB181" s="223">
        <f t="shared" si="63"/>
        <v>93.905474252832448</v>
      </c>
      <c r="AC181" s="223">
        <f>AC180/$E$162*100</f>
        <v>80.448401929612416</v>
      </c>
      <c r="AD181" s="223">
        <f t="shared" si="63"/>
        <v>96.945112947182849</v>
      </c>
      <c r="AE181" s="223">
        <f t="shared" si="63"/>
        <v>88.261463977434488</v>
      </c>
      <c r="AF181" s="223">
        <f t="shared" si="63"/>
        <v>197.39011020509389</v>
      </c>
      <c r="AG181" s="223">
        <f t="shared" si="63"/>
        <v>127.53222904323707</v>
      </c>
      <c r="AH181" s="223">
        <f t="shared" si="63"/>
        <v>103.99031548642475</v>
      </c>
      <c r="AI181" s="223">
        <f t="shared" si="63"/>
        <v>22.939579162431624</v>
      </c>
      <c r="AJ181" s="223">
        <f t="shared" si="63"/>
        <v>92.518601169337018</v>
      </c>
      <c r="AK181" s="223">
        <f t="shared" si="63"/>
        <v>95.791521895553032</v>
      </c>
      <c r="AL181" s="223">
        <f t="shared" si="63"/>
        <v>70.416567409107216</v>
      </c>
      <c r="AM181" s="223">
        <f t="shared" si="63"/>
        <v>92.799066127318895</v>
      </c>
      <c r="AN181" s="223">
        <f t="shared" si="63"/>
        <v>99.197845254578496</v>
      </c>
      <c r="AO181" s="223">
        <f t="shared" si="63"/>
        <v>95.019660899621073</v>
      </c>
      <c r="AP181" s="223">
        <f t="shared" si="63"/>
        <v>93.876690465090675</v>
      </c>
      <c r="AQ181" s="191">
        <f t="shared" si="63"/>
        <v>96.031398873096748</v>
      </c>
      <c r="AR181" s="533">
        <f t="shared" si="63"/>
        <v>93.607149313763372</v>
      </c>
      <c r="AS181" s="294"/>
      <c r="AT181" s="178"/>
      <c r="AU181" s="194"/>
    </row>
    <row r="182" spans="2:49" ht="73.5" customHeight="1">
      <c r="C182" s="159" t="s">
        <v>667</v>
      </c>
      <c r="D182" s="159" t="s">
        <v>553</v>
      </c>
      <c r="E182" s="319">
        <f>E176*E179</f>
        <v>3660866.0766895181</v>
      </c>
      <c r="F182" s="245">
        <f>E182/12</f>
        <v>305072.17305745982</v>
      </c>
      <c r="G182" s="169">
        <f>G185*G188</f>
        <v>3660.8660766895173</v>
      </c>
      <c r="H182" s="153"/>
      <c r="I182" s="323"/>
      <c r="L182" s="994" t="s">
        <v>668</v>
      </c>
      <c r="M182" s="995"/>
      <c r="N182" s="995"/>
      <c r="O182" s="996"/>
      <c r="P182" s="311">
        <f>V182/V179</f>
        <v>0.60000000000000009</v>
      </c>
      <c r="Q182" s="312"/>
      <c r="R182" s="312"/>
      <c r="S182" s="313"/>
      <c r="T182" s="210">
        <f>IF($P$161&lt;60%,60% *T179,T181)</f>
        <v>242668.57758163995</v>
      </c>
      <c r="U182" s="210">
        <f>IF($P$161&lt;60%,60% *U179,U181)</f>
        <v>348062.82058817439</v>
      </c>
      <c r="V182" s="210">
        <f t="shared" si="61"/>
        <v>590731.39816981438</v>
      </c>
      <c r="W182" s="231"/>
      <c r="X182" s="322">
        <f t="shared" si="62"/>
        <v>590731.39816981438</v>
      </c>
      <c r="Y182" s="324" t="s">
        <v>669</v>
      </c>
      <c r="Z182" s="268">
        <f>Z185+Z190+Z193</f>
        <v>1315.9510450581124</v>
      </c>
      <c r="AA182" s="268">
        <f>AA185+AA190+AA193</f>
        <v>1427.6751923975517</v>
      </c>
      <c r="AB182" s="268">
        <f>AB185+AB190+AB193</f>
        <v>1444.8618823518077</v>
      </c>
      <c r="AC182" s="192">
        <f>SUM(Z182:AB182)</f>
        <v>4188.4881198074718</v>
      </c>
      <c r="AD182" s="268">
        <f>AD185+AD190+AD193</f>
        <v>1442.9900480112728</v>
      </c>
      <c r="AE182" s="268">
        <f>AE185+AE190+AE193</f>
        <v>1343.9195698843178</v>
      </c>
      <c r="AF182" s="268">
        <f>AF185+AF190+AF193</f>
        <v>961.90369513747339</v>
      </c>
      <c r="AG182" s="325">
        <f>SUM(AD182:AF182)</f>
        <v>3748.8133130330639</v>
      </c>
      <c r="AH182" s="192">
        <f>AC182+AG182</f>
        <v>7937.3014328405352</v>
      </c>
      <c r="AI182" s="268">
        <f>AI185+AI190+AI193</f>
        <v>1390.6459528953681</v>
      </c>
      <c r="AJ182" s="268">
        <f>AJ185+AJ190+AJ193</f>
        <v>1497.025169955707</v>
      </c>
      <c r="AK182" s="268">
        <f>AK185+AK190+AK193</f>
        <v>1499.2686386110331</v>
      </c>
      <c r="AL182" s="325">
        <f>SUM(AI182:AK182)</f>
        <v>4386.9397614621084</v>
      </c>
      <c r="AM182" s="192">
        <f>AH182+AL182</f>
        <v>12324.241194302644</v>
      </c>
      <c r="AN182" s="268">
        <f>AN185+AN190+AN193</f>
        <v>1553.9936237322518</v>
      </c>
      <c r="AO182" s="268">
        <f>AO185+AO190+AO193</f>
        <v>1473.7113078687921</v>
      </c>
      <c r="AP182" s="268">
        <f>AP185+AP190+AP193</f>
        <v>1371.2430092423085</v>
      </c>
      <c r="AQ182" s="192">
        <f>SUM(AN182:AP182)</f>
        <v>4398.9479408433526</v>
      </c>
      <c r="AR182" s="545">
        <f>U171*12/1000</f>
        <v>16723.189135145996</v>
      </c>
      <c r="AS182" s="326">
        <f>AQ182+AM182-AR182</f>
        <v>0</v>
      </c>
      <c r="AT182" s="327">
        <f>AR182/(AR$153-AR$161)*1000</f>
        <v>56880.205013496561</v>
      </c>
      <c r="AU182" s="328">
        <f>AC182+AG182+AL182+AQ182-AR182</f>
        <v>0</v>
      </c>
    </row>
    <row r="183" spans="2:49" ht="35.25" customHeight="1">
      <c r="C183" s="159" t="s">
        <v>670</v>
      </c>
      <c r="D183" s="159" t="s">
        <v>553</v>
      </c>
      <c r="E183" s="319">
        <f>E177*E180</f>
        <v>1551236.8273825089</v>
      </c>
      <c r="F183" s="319">
        <f>F181-F182</f>
        <v>129269.73561520909</v>
      </c>
      <c r="G183" s="169">
        <f>G186*G189</f>
        <v>1551.2368273825091</v>
      </c>
      <c r="H183" s="153"/>
      <c r="I183" s="323"/>
      <c r="L183" s="994" t="s">
        <v>671</v>
      </c>
      <c r="M183" s="995"/>
      <c r="N183" s="995"/>
      <c r="O183" s="996"/>
      <c r="P183" s="311">
        <f>V183/V179</f>
        <v>0.28517256722996914</v>
      </c>
      <c r="Q183" s="312"/>
      <c r="R183" s="312"/>
      <c r="S183" s="313"/>
      <c r="T183" s="210">
        <f>T179-T187-T185-T182-T184</f>
        <v>103260.67025595668</v>
      </c>
      <c r="U183" s="210">
        <f>U179-U182-U184-U185-U187</f>
        <v>177506.64534310173</v>
      </c>
      <c r="V183" s="210">
        <f t="shared" si="61"/>
        <v>280767.31559905841</v>
      </c>
      <c r="W183" s="231"/>
      <c r="X183" s="322">
        <f t="shared" si="62"/>
        <v>280767.31559905841</v>
      </c>
      <c r="Y183" s="329" t="s">
        <v>672</v>
      </c>
      <c r="Z183" s="214">
        <f>IF((Z$153-Z$189)&lt;0,0,$AT183*(Z$153-Z$189)/1000)</f>
        <v>559.48480448945543</v>
      </c>
      <c r="AA183" s="214">
        <f>IF(AA$153-AA$189&lt;0,0,($AT183*(SUM(Z$153:AA$153)-SUM(Z$189:AA$189))/1000)-Z183)</f>
        <v>615.87742382105694</v>
      </c>
      <c r="AB183" s="214">
        <f>IF((AB$153-AB$189)&lt;0,0,($AT183*(SUM(Z$153:AB$153)-SUM(Z$189:AB$189))/1000)-SUM(Z183:AA183))</f>
        <v>628.79418202377815</v>
      </c>
      <c r="AC183" s="192">
        <f>SUM(Z183:AB183)</f>
        <v>1804.1564103342905</v>
      </c>
      <c r="AD183" s="214">
        <f>IF((AD$153-AD$189)&lt;0,0,$AT183*(AD$153-AD$189)/1000)</f>
        <v>610.87519491189437</v>
      </c>
      <c r="AE183" s="214">
        <f>IF(AE$153-AE$189&lt;0,0,($AT183*(SUM(AD$153:AE$153)-SUM(AD$189:AE$189))/1000)-AD183)</f>
        <v>556.64945257702561</v>
      </c>
      <c r="AF183" s="214">
        <f>IF((AF$153-AF$189)&lt;0,0,($AT183*(SUM(AD$153:AF$153)-SUM(AD$189:AF$189))/1000)-SUM(AD183:AE183))</f>
        <v>285.34417804162103</v>
      </c>
      <c r="AG183" s="325">
        <f>SUM(AD183:AF183)</f>
        <v>1452.868825530541</v>
      </c>
      <c r="AH183" s="192">
        <f>AC183+AG183</f>
        <v>3257.0252358648313</v>
      </c>
      <c r="AI183" s="214">
        <f>IF((AI$153-AI$189)&lt;0,0,$AT183*(AI$153-AI$189)/1000)</f>
        <v>640.98864789425534</v>
      </c>
      <c r="AJ183" s="214">
        <f>IF(AJ$153-AJ$189&lt;0,0,($AT183*(SUM(AI$153:AJ$153)-SUM(AI$189:AJ$189))/1000)-AI183)</f>
        <v>691.54911115135542</v>
      </c>
      <c r="AK183" s="214">
        <f>IF((AK$153-AK$189)&lt;0,0,($AT183*(SUM(AI$153:AK$153)-SUM(AI$189:AK$189))/1000)-SUM(AI183:AJ183))</f>
        <v>688.16047446203288</v>
      </c>
      <c r="AL183" s="325">
        <f>SUM(AI183:AK183)</f>
        <v>2020.6982335076436</v>
      </c>
      <c r="AM183" s="192">
        <f>AH183+AL183</f>
        <v>5277.7234693724749</v>
      </c>
      <c r="AN183" s="214">
        <f>IF(AN$153-AN$189&lt;0,0,($AT183*(SUM(Z$153:AB$153)+SUM(AD$153:AF$153)+SUM(AI$153:AK$153)+AN$153-SUM(Z$189:AB$189)-SUM(AD$189:AF$189)-SUM(AI$189:AK$189)-AN$189)/1000)-SUM(Z183:AB183)-SUM(AD183:AF183)-SUM(AI183:AK183))</f>
        <v>731.99748175703598</v>
      </c>
      <c r="AO183" s="214">
        <f>IF(AO$153-AO$189&lt;0,0,($AT183*(SUM(Z$153:AB$153)+SUM(AD$153:AF$153)+SUM(AI$153:AK$153)+SUM(AN$153:AO$153)-SUM(Z$189:AB$189)-SUM(AD$189:AF$189)-SUM(AI$189:AK$189)-SUM(AN$189:AO$189))/1000)-SUM(Z183:AB183)-SUM(AD183:AF183)-SUM(AI183:AK183)-AN183)</f>
        <v>698.27256711345217</v>
      </c>
      <c r="AP183" s="214">
        <f>IF(AP$153-AP$189&lt;0,0,($AT183*(SUM(Z$153:AB$153)+SUM(AD$153:AF$153)+SUM(AI$153:AK$153)+SUM(AN$153:AP$153)-SUM(Z$189:AB$189)-SUM(AD$189:AF$189)-SUM(AI$189:AK$189)-SUM(AN$189:AP$189))/1000)-SUM(Z183:AB183)-SUM(AD183:AF183)-SUM(AI183:AK183)-SUM(AN183:AO183))</f>
        <v>731.99748175703598</v>
      </c>
      <c r="AQ183" s="192">
        <f>SUM(AN183:AP183)</f>
        <v>2162.2675306275241</v>
      </c>
      <c r="AR183" s="554">
        <f>U155*12/1000</f>
        <v>7439.991</v>
      </c>
      <c r="AS183" s="326">
        <f>AQ183+AM183-AR183</f>
        <v>0</v>
      </c>
      <c r="AT183" s="327">
        <f>AR183/(AR$153-AR$189)*1000</f>
        <v>23612.821992162426</v>
      </c>
      <c r="AU183" s="328">
        <f>AC183+AG183+AL183+AQ183-AR183</f>
        <v>0</v>
      </c>
    </row>
    <row r="184" spans="2:49" ht="36" customHeight="1">
      <c r="C184" s="159" t="s">
        <v>673</v>
      </c>
      <c r="D184" s="159" t="s">
        <v>0</v>
      </c>
      <c r="E184" s="160">
        <f>E175/E167</f>
        <v>44.234042553191486</v>
      </c>
      <c r="F184" s="330"/>
      <c r="G184" s="331">
        <f>E184</f>
        <v>44.234042553191486</v>
      </c>
      <c r="H184" s="323"/>
      <c r="I184" s="323"/>
      <c r="L184" s="994" t="s">
        <v>1</v>
      </c>
      <c r="M184" s="995"/>
      <c r="N184" s="995"/>
      <c r="O184" s="996"/>
      <c r="P184" s="311">
        <f>V184/V179</f>
        <v>6.4827432770030918E-2</v>
      </c>
      <c r="Q184" s="312"/>
      <c r="R184" s="312"/>
      <c r="S184" s="313"/>
      <c r="T184" s="210">
        <f>IF($P$181&lt;60%,T179-T182-T185-T187,T164)</f>
        <v>38296</v>
      </c>
      <c r="U184" s="210">
        <f>IF($P$181&lt;60%,U179-U182-U185-U187,U164)</f>
        <v>25530</v>
      </c>
      <c r="V184" s="210">
        <f t="shared" si="61"/>
        <v>63826</v>
      </c>
      <c r="W184" s="231"/>
      <c r="X184" s="322">
        <f t="shared" si="62"/>
        <v>63826</v>
      </c>
      <c r="Y184" s="329" t="s">
        <v>2</v>
      </c>
      <c r="Z184" s="214">
        <f>IF((Z$153-Z$189)&lt;0,0,$AT184*(Z$153-Z$189)/1000)</f>
        <v>57.956747267251551</v>
      </c>
      <c r="AA184" s="214">
        <f>IF(AA$153-AA$189&lt;0,0,($AT184*(SUM(Z$153:AA$153)-SUM(Z$189:AA$189))/1000)-Z184)</f>
        <v>63.798430115675636</v>
      </c>
      <c r="AB184" s="214">
        <f>IF((AB$153-AB$189)&lt;0,0,($AT184*(SUM(Z$153:AB$153)-SUM(Z$189:AB$189))/1000)-SUM(Z184:AA184))</f>
        <v>65.136470549768305</v>
      </c>
      <c r="AC184" s="192">
        <f>SUM(Z184:AB184)</f>
        <v>186.89164793269549</v>
      </c>
      <c r="AD184" s="214">
        <f>IF((AD$153-AD$189)&lt;0,0,($AT184*(SUM(Z$153:AB$153)+AD$153-SUM(Z$189:AB$189)-AD$189)/1000)-SUM(Z184:AB184))</f>
        <v>63.28025175884639</v>
      </c>
      <c r="AE184" s="214">
        <f>IF((AE$153-AE$189)&lt;0,0,($AT184*(SUM(Z$153:AB$153)+SUM(AD$153:AE$153)-SUM(Z$189:AB$189)-SUM(AD$189:AE$189))/1000)-SUM(Z184:AB184)-AD184)</f>
        <v>57.663034600019529</v>
      </c>
      <c r="AF184" s="214">
        <f>IF((AF$153-AF$189)&lt;0,0,($AT184*(SUM(Z$153:AB$153)+SUM(AD$153:AF$153)-SUM(Z$189:AB$189)-SUM(AD$189:AF$189))/1000)-SUM(Z184:AB184)-SUM(AD184:AE184))</f>
        <v>29.558658748615812</v>
      </c>
      <c r="AG184" s="325">
        <f>SUM(AD184:AF184)</f>
        <v>150.50194510748173</v>
      </c>
      <c r="AH184" s="192">
        <f>AC184+AG184</f>
        <v>337.39359304017722</v>
      </c>
      <c r="AI184" s="214">
        <f>IF((AI$153-AI$189)&lt;0,0,($AT184*(SUM(Z$153:AB$153)+SUM(AD$153:AF$153)+AI$153-SUM(Z$189:AB$189)-SUM(AD$189:AF$189)-AI$189)/1000)-SUM(Z184:AB184)-SUM(AD184:AF184))</f>
        <v>66.399689087328511</v>
      </c>
      <c r="AJ184" s="214">
        <f>IF((AJ$153-AJ$189)&lt;0,0,($AT184*(SUM(Z$153:AB$153)+SUM(AD$153:AF$153)+SUM(AI$153:AJ$153)-SUM(Z$189:AB$189)-SUM(AD$189:AF$189)-SUM(AI$189:AJ$189))/1000)-SUM(Z184:AB184)-SUM(AD184:AF184)-AI184)</f>
        <v>71.63722184459607</v>
      </c>
      <c r="AK184" s="214">
        <f>IF((AK$153-AK$189)&lt;0,0,($AT184*(SUM(Z$153:AB$153)+SUM(AD$153:AF$153)+SUM(AI$153:AK$153)-SUM(Z$189:AB$189)-SUM(AD$189:AF$189)-SUM(AI$189:AK$189))/1000)-SUM(Z184:AB184)-SUM(AD184:AF184)-SUM(AI184:AJ184))</f>
        <v>71.286194687812383</v>
      </c>
      <c r="AL184" s="325">
        <f>SUM(AI184:AK184)</f>
        <v>209.32310561973696</v>
      </c>
      <c r="AM184" s="192">
        <f>AH184+AL184</f>
        <v>546.71669865991419</v>
      </c>
      <c r="AN184" s="214">
        <f>IF(AN$153-AN$189&lt;0,0,($AT184*(SUM(Z$153:AB$153)+SUM(AD$153:AF$153)+SUM(AI$153:AK$153)+AN$153-SUM(Z$189:AB$189)-SUM(AD$189:AF$189)-SUM(AI$189:AK$189)-AN$189)/1000)-SUM(Z184:AB184)-SUM(AD184:AF184)-SUM(AI184:AK184))</f>
        <v>75.827248050410049</v>
      </c>
      <c r="AO184" s="214">
        <f>IF(AO$153-AO$189&lt;0,0,($AT184*(SUM(Z$153:AB$153)+SUM(AD$153:AF$153)+SUM(AI$153:AK$153)+SUM(AN$153:AO$153)-SUM(Z$189:AB$189)-SUM(AD$189:AF$189)-SUM(AI$189:AK$189)-SUM(AN$189:AO$189))/1000)-SUM(Z184:AB184)-SUM(AD184:AF184)-SUM(AI184:AK184)-AN184)</f>
        <v>72.333701239265906</v>
      </c>
      <c r="AP184" s="214">
        <f>IF(AP$153-AP$189&lt;0,0,($AT184*(SUM(Z$153:AB$153)+SUM(AD$153:AF$153)+SUM(AI$153:AK$153)+SUM(AN$153:AP$153)-SUM(Z$189:AB$189)-SUM(AD$189:AF$189)-SUM(AI$189:AK$189)-SUM(AN$189:AP$189))/1000)-SUM(Z184:AB184)-SUM(AD184:AF184)-SUM(AI184:AK184)-SUM(AN184:AO184))</f>
        <v>75.827248050409935</v>
      </c>
      <c r="AQ184" s="192">
        <f>SUM(AN184:AP184)</f>
        <v>223.98819734008589</v>
      </c>
      <c r="AR184" s="545">
        <f>U156*12/1000</f>
        <v>770.70489599999996</v>
      </c>
      <c r="AS184" s="326">
        <f>AQ184+AM184-AR184</f>
        <v>0</v>
      </c>
      <c r="AT184" s="327">
        <f>AR184/(AR$153-AR$189)*1000</f>
        <v>2446.0402596906447</v>
      </c>
      <c r="AU184" s="328">
        <f>AC184+AG184+AL184+AQ184-AR184</f>
        <v>0</v>
      </c>
    </row>
    <row r="185" spans="2:49" s="332" customFormat="1" ht="32.25" customHeight="1">
      <c r="C185" s="159" t="s">
        <v>3</v>
      </c>
      <c r="D185" s="159" t="s">
        <v>0</v>
      </c>
      <c r="E185" s="333">
        <f>E176/(E168+E169)</f>
        <v>55.690140845070424</v>
      </c>
      <c r="F185" s="330"/>
      <c r="G185" s="331">
        <f>E185</f>
        <v>55.690140845070424</v>
      </c>
      <c r="H185" s="323"/>
      <c r="I185" s="323"/>
      <c r="L185" s="994" t="s">
        <v>4</v>
      </c>
      <c r="M185" s="995"/>
      <c r="N185" s="995"/>
      <c r="O185" s="996"/>
      <c r="P185" s="311">
        <f>P165</f>
        <v>0</v>
      </c>
      <c r="Q185" s="312"/>
      <c r="R185" s="312"/>
      <c r="S185" s="313"/>
      <c r="T185" s="210">
        <f>T179*$P$165</f>
        <v>0</v>
      </c>
      <c r="U185" s="210">
        <f>U179*$P$165</f>
        <v>0</v>
      </c>
      <c r="V185" s="210">
        <f t="shared" si="61"/>
        <v>0</v>
      </c>
      <c r="W185" s="231"/>
      <c r="X185" s="322">
        <f t="shared" si="62"/>
        <v>0</v>
      </c>
      <c r="Y185" s="329" t="s">
        <v>5</v>
      </c>
      <c r="Z185" s="334">
        <f>Z183+Z184</f>
        <v>617.44155175670699</v>
      </c>
      <c r="AA185" s="334">
        <f>AA183+AA184</f>
        <v>679.67585393673255</v>
      </c>
      <c r="AB185" s="334">
        <f>AB183+AB184</f>
        <v>693.93065257354647</v>
      </c>
      <c r="AC185" s="192">
        <f>SUM(Z185:AB185)</f>
        <v>1991.0480582669861</v>
      </c>
      <c r="AD185" s="334">
        <f>AD183+AD184</f>
        <v>674.15544667074073</v>
      </c>
      <c r="AE185" s="334">
        <f>AE183+AE184</f>
        <v>614.31248717704511</v>
      </c>
      <c r="AF185" s="334">
        <f>AF183+AF184</f>
        <v>314.90283679023685</v>
      </c>
      <c r="AG185" s="325">
        <f>SUM(AD185:AF185)</f>
        <v>1603.3707706380228</v>
      </c>
      <c r="AH185" s="192">
        <f>AC185+AG185</f>
        <v>3594.4188289050089</v>
      </c>
      <c r="AI185" s="334">
        <f>AI183+AI184</f>
        <v>707.38833698158385</v>
      </c>
      <c r="AJ185" s="334">
        <f>AJ183+AJ184</f>
        <v>763.18633299595149</v>
      </c>
      <c r="AK185" s="334">
        <f>AK183+AK184</f>
        <v>759.44666914984532</v>
      </c>
      <c r="AL185" s="325">
        <f>SUM(AI185:AK185)</f>
        <v>2230.021339127381</v>
      </c>
      <c r="AM185" s="192">
        <f>AH185+AL185</f>
        <v>5824.4401680323899</v>
      </c>
      <c r="AN185" s="334">
        <f>AN183+AN184</f>
        <v>807.82472980744603</v>
      </c>
      <c r="AO185" s="334">
        <f>AO183+AO184</f>
        <v>770.60626835271808</v>
      </c>
      <c r="AP185" s="334">
        <f>AP183+AP184</f>
        <v>807.82472980744592</v>
      </c>
      <c r="AQ185" s="192">
        <f>SUM(AN185:AP185)</f>
        <v>2386.2557279676103</v>
      </c>
      <c r="AR185" s="545">
        <f>AR183+AR184</f>
        <v>8210.6958959999993</v>
      </c>
      <c r="AS185" s="326">
        <f>AQ185+AM185-AR185</f>
        <v>0</v>
      </c>
      <c r="AT185" s="327">
        <f>AR185/(AR$153-AR$189)*1000</f>
        <v>26058.862251853072</v>
      </c>
      <c r="AU185" s="328">
        <f>AC185+AG185+AL185+AQ185-AR185</f>
        <v>0</v>
      </c>
    </row>
    <row r="186" spans="2:49" ht="33.75" customHeight="1">
      <c r="C186" s="159" t="s">
        <v>6</v>
      </c>
      <c r="D186" s="159" t="s">
        <v>0</v>
      </c>
      <c r="E186" s="335">
        <f>(E175-E176)/E171</f>
        <v>32.614285714285714</v>
      </c>
      <c r="F186" s="330"/>
      <c r="G186" s="331">
        <f>E186</f>
        <v>32.614285714285714</v>
      </c>
      <c r="H186" s="323"/>
      <c r="I186" s="323"/>
      <c r="L186" s="1010" t="s">
        <v>7</v>
      </c>
      <c r="M186" s="1011"/>
      <c r="N186" s="1011"/>
      <c r="O186" s="1012"/>
      <c r="P186" s="314">
        <f>P187</f>
        <v>0.05</v>
      </c>
      <c r="Q186" s="231"/>
      <c r="R186" s="231"/>
      <c r="S186" s="232"/>
      <c r="T186" s="222">
        <f>T179*$P$166</f>
        <v>20222.381465136667</v>
      </c>
      <c r="U186" s="222">
        <f>U179*$P$166</f>
        <v>29005.235049014533</v>
      </c>
      <c r="V186" s="222">
        <f t="shared" si="61"/>
        <v>49227.616514151203</v>
      </c>
      <c r="W186" s="231"/>
      <c r="X186" s="322">
        <f t="shared" si="62"/>
        <v>49227.616514151203</v>
      </c>
      <c r="Y186" s="329" t="s">
        <v>580</v>
      </c>
      <c r="Z186" s="336">
        <f>Z185/Z182*100</f>
        <v>46.919796452567944</v>
      </c>
      <c r="AA186" s="336">
        <f>AA185/AA182*100</f>
        <v>47.607176867402586</v>
      </c>
      <c r="AB186" s="336">
        <f>AB185/AB182*100</f>
        <v>48.027473148093065</v>
      </c>
      <c r="AC186" s="229"/>
      <c r="AD186" s="336">
        <f>AD185/AD182*100</f>
        <v>46.719341384222361</v>
      </c>
      <c r="AE186" s="336">
        <f>AE185/AE182*100</f>
        <v>45.710509835787569</v>
      </c>
      <c r="AF186" s="336">
        <f>AF185/AF182*100</f>
        <v>32.737459933058219</v>
      </c>
      <c r="AG186" s="337"/>
      <c r="AH186" s="338"/>
      <c r="AI186" s="336">
        <f>AI185/AI182*100</f>
        <v>50.867608359178654</v>
      </c>
      <c r="AJ186" s="336">
        <f>AJ185/AJ182*100</f>
        <v>50.980193807865781</v>
      </c>
      <c r="AK186" s="336">
        <f>AK185/AK182*100</f>
        <v>50.654475761823392</v>
      </c>
      <c r="AL186" s="337"/>
      <c r="AM186" s="338"/>
      <c r="AN186" s="336">
        <f>AN185/AN182*100</f>
        <v>51.983786643041711</v>
      </c>
      <c r="AO186" s="336">
        <f>AO185/AO182*100</f>
        <v>52.29017815348994</v>
      </c>
      <c r="AP186" s="336">
        <f>AP185/AP182*100</f>
        <v>58.91185766218171</v>
      </c>
      <c r="AQ186" s="229"/>
      <c r="AR186" s="535">
        <f>AR185/AR182*100</f>
        <v>49.097668092171098</v>
      </c>
      <c r="AS186" s="339"/>
      <c r="AT186" s="340"/>
      <c r="AU186" s="328"/>
    </row>
    <row r="187" spans="2:49" ht="84" customHeight="1">
      <c r="C187" s="159" t="s">
        <v>8</v>
      </c>
      <c r="D187" s="162" t="s">
        <v>9</v>
      </c>
      <c r="E187" s="330"/>
      <c r="F187" s="330"/>
      <c r="G187" s="331">
        <f>V171/1000/29.3</f>
        <v>113.2994498107745</v>
      </c>
      <c r="H187" s="323"/>
      <c r="I187" s="323"/>
      <c r="L187" s="994" t="s">
        <v>10</v>
      </c>
      <c r="M187" s="1008"/>
      <c r="N187" s="1008"/>
      <c r="O187" s="1009"/>
      <c r="P187" s="311">
        <f>P166</f>
        <v>0.05</v>
      </c>
      <c r="Q187" s="312"/>
      <c r="R187" s="312"/>
      <c r="S187" s="313"/>
      <c r="T187" s="210">
        <f>IF($P$166&gt;5%,5%*T179,T186)</f>
        <v>20222.381465136667</v>
      </c>
      <c r="U187" s="210">
        <f>IF($P$166&gt;5%,5%*U179,U186)</f>
        <v>29005.235049014533</v>
      </c>
      <c r="V187" s="210">
        <f t="shared" si="61"/>
        <v>49227.616514151203</v>
      </c>
      <c r="W187" s="231"/>
      <c r="X187" s="341">
        <f t="shared" si="62"/>
        <v>49227.616514151203</v>
      </c>
      <c r="Y187" s="555" t="s">
        <v>11</v>
      </c>
      <c r="Z187" s="342">
        <v>20</v>
      </c>
      <c r="AA187" s="342">
        <v>60</v>
      </c>
      <c r="AB187" s="342">
        <v>155</v>
      </c>
      <c r="AC187" s="343">
        <f>SUM(Z187:AB187)</f>
        <v>235</v>
      </c>
      <c r="AD187" s="342">
        <v>270</v>
      </c>
      <c r="AE187" s="342">
        <v>224</v>
      </c>
      <c r="AF187" s="342">
        <v>1106</v>
      </c>
      <c r="AG187" s="344">
        <f>SUM(AD187:AF187)</f>
        <v>1600</v>
      </c>
      <c r="AH187" s="343">
        <f>AC187+AG187</f>
        <v>1835</v>
      </c>
      <c r="AI187" s="342">
        <v>252</v>
      </c>
      <c r="AJ187" s="342">
        <v>112</v>
      </c>
      <c r="AK187" s="342">
        <v>56</v>
      </c>
      <c r="AL187" s="344">
        <f>SUM(AI187:AK187)</f>
        <v>420</v>
      </c>
      <c r="AM187" s="343">
        <f>AH187+AL187</f>
        <v>2255</v>
      </c>
      <c r="AN187" s="342">
        <v>0</v>
      </c>
      <c r="AO187" s="342">
        <v>28</v>
      </c>
      <c r="AP187" s="342"/>
      <c r="AQ187" s="343">
        <f>SUM(AN187:AP187)</f>
        <v>28</v>
      </c>
      <c r="AR187" s="556">
        <f>AM187+AQ187</f>
        <v>2283</v>
      </c>
      <c r="AS187" s="345">
        <f>AQ187+AM187-AR187</f>
        <v>0</v>
      </c>
      <c r="AT187" s="346"/>
      <c r="AU187" s="347">
        <f>AC187+AG187+AL187+AQ187-AR187</f>
        <v>0</v>
      </c>
      <c r="AV187" s="997" t="s">
        <v>12</v>
      </c>
      <c r="AW187" s="998"/>
    </row>
    <row r="188" spans="2:49" ht="108" customHeight="1">
      <c r="C188" s="159" t="s">
        <v>13</v>
      </c>
      <c r="D188" s="162" t="s">
        <v>9</v>
      </c>
      <c r="E188" s="330"/>
      <c r="F188" s="348"/>
      <c r="G188" s="331">
        <f>T171/1000/29.3</f>
        <v>65.736340780211364</v>
      </c>
      <c r="H188" s="323"/>
      <c r="I188" s="153"/>
      <c r="L188" s="1018" t="s">
        <v>14</v>
      </c>
      <c r="M188" s="1019"/>
      <c r="N188" s="1019"/>
      <c r="O188" s="1020"/>
      <c r="P188" s="349"/>
      <c r="Q188" s="349"/>
      <c r="R188" s="349"/>
      <c r="S188" s="349"/>
      <c r="T188" s="350"/>
      <c r="U188" s="302">
        <f>IF(W172&gt;F157*1000,F157*1000,W172)</f>
        <v>145833.33333333334</v>
      </c>
      <c r="V188" s="302">
        <f>S189+T189+U188</f>
        <v>145833.33333333334</v>
      </c>
      <c r="W188" s="302">
        <f>-V188</f>
        <v>-145833.33333333334</v>
      </c>
      <c r="X188" s="351"/>
      <c r="Y188" s="557" t="s">
        <v>15</v>
      </c>
      <c r="Z188" s="352">
        <v>20</v>
      </c>
      <c r="AA188" s="352">
        <v>60</v>
      </c>
      <c r="AB188" s="352">
        <v>155</v>
      </c>
      <c r="AC188" s="343">
        <f>SUM(Z188:AB188)</f>
        <v>235</v>
      </c>
      <c r="AD188" s="352">
        <v>270</v>
      </c>
      <c r="AE188" s="352">
        <v>224</v>
      </c>
      <c r="AF188" s="352">
        <v>1106</v>
      </c>
      <c r="AG188" s="344">
        <f>SUM(AD188:AF188)</f>
        <v>1600</v>
      </c>
      <c r="AH188" s="343">
        <f>AC188+AG188</f>
        <v>1835</v>
      </c>
      <c r="AI188" s="352">
        <v>252</v>
      </c>
      <c r="AJ188" s="352">
        <v>112</v>
      </c>
      <c r="AK188" s="352">
        <v>56</v>
      </c>
      <c r="AL188" s="344">
        <f>SUM(AI188:AK188)</f>
        <v>420</v>
      </c>
      <c r="AM188" s="343">
        <f>AH188+AL188</f>
        <v>2255</v>
      </c>
      <c r="AN188" s="352">
        <v>0</v>
      </c>
      <c r="AO188" s="352">
        <v>28</v>
      </c>
      <c r="AP188" s="352"/>
      <c r="AQ188" s="343">
        <f>SUM(AN188:AP188)</f>
        <v>28</v>
      </c>
      <c r="AR188" s="556">
        <f>AM188+AQ188</f>
        <v>2283</v>
      </c>
      <c r="AS188" s="345">
        <f>AR188-(E175-E176)</f>
        <v>0</v>
      </c>
      <c r="AT188" s="353"/>
      <c r="AU188" s="354"/>
    </row>
    <row r="189" spans="2:49" ht="48.75" customHeight="1">
      <c r="C189" s="159" t="s">
        <v>16</v>
      </c>
      <c r="D189" s="330" t="s">
        <v>9</v>
      </c>
      <c r="E189" s="330"/>
      <c r="F189" s="330"/>
      <c r="G189" s="331">
        <f>U171/1000/29.3</f>
        <v>47.563109030563133</v>
      </c>
      <c r="H189" s="323"/>
      <c r="I189" s="355"/>
      <c r="K189" s="356"/>
      <c r="L189" s="1018" t="s">
        <v>17</v>
      </c>
      <c r="M189" s="1019"/>
      <c r="N189" s="1019"/>
      <c r="O189" s="1020"/>
      <c r="P189" s="231"/>
      <c r="Q189" s="231"/>
      <c r="R189" s="231"/>
      <c r="S189" s="231"/>
      <c r="T189" s="357"/>
      <c r="U189" s="358">
        <f>W172-U188</f>
        <v>53370.757001039718</v>
      </c>
      <c r="V189" s="302">
        <f>S189+T189+U189</f>
        <v>53370.757001039718</v>
      </c>
      <c r="W189" s="302">
        <f>-V189</f>
        <v>-53370.757001039718</v>
      </c>
      <c r="X189" s="341"/>
      <c r="Y189" s="359" t="s">
        <v>18</v>
      </c>
      <c r="Z189" s="360">
        <f>Z188/$G173</f>
        <v>0.3058898815584295</v>
      </c>
      <c r="AA189" s="360">
        <f>AA188/$G173</f>
        <v>0.91766964467528855</v>
      </c>
      <c r="AB189" s="360">
        <f>AB188/$G173</f>
        <v>2.3706465820778289</v>
      </c>
      <c r="AC189" s="192">
        <f>SUM(Z189:AB189)</f>
        <v>3.5942061083115471</v>
      </c>
      <c r="AD189" s="360">
        <f>AD188/$G173</f>
        <v>4.1295134010387988</v>
      </c>
      <c r="AE189" s="360">
        <f>AE188/$G173</f>
        <v>3.4259666734544107</v>
      </c>
      <c r="AF189" s="360">
        <f>AF188/$G173</f>
        <v>16.915710450181152</v>
      </c>
      <c r="AG189" s="192">
        <f>SUM(AD189:AF189)</f>
        <v>24.471190524674363</v>
      </c>
      <c r="AH189" s="192">
        <f>AC189+AG189</f>
        <v>28.065396632985909</v>
      </c>
      <c r="AI189" s="360">
        <f>AI188/$G173</f>
        <v>3.8542125076362117</v>
      </c>
      <c r="AJ189" s="360">
        <f>AJ188/$G173</f>
        <v>1.7129833367272054</v>
      </c>
      <c r="AK189" s="360">
        <f>AK188/$G173</f>
        <v>0.85649166836360269</v>
      </c>
      <c r="AL189" s="192">
        <f>SUM(AI189:AK189)</f>
        <v>6.4236875127270201</v>
      </c>
      <c r="AM189" s="192">
        <f>AH189+AL189</f>
        <v>34.48908414571293</v>
      </c>
      <c r="AN189" s="360">
        <f>AN188/$G173</f>
        <v>0</v>
      </c>
      <c r="AO189" s="360">
        <f>AO188/$G173</f>
        <v>0.42824583418180134</v>
      </c>
      <c r="AP189" s="360">
        <f>AP188/$G173</f>
        <v>0</v>
      </c>
      <c r="AQ189" s="192">
        <f>SUM(AN189:AP189)</f>
        <v>0.42824583418180134</v>
      </c>
      <c r="AR189" s="558">
        <f>AR188/$G173</f>
        <v>34.917329979894731</v>
      </c>
      <c r="AS189" s="326">
        <f>AQ189+AM189-AR189</f>
        <v>0</v>
      </c>
      <c r="AT189" s="340"/>
      <c r="AU189" s="328">
        <f>AC189+AG189+AL189+AQ189-AR189</f>
        <v>0</v>
      </c>
    </row>
    <row r="190" spans="2:49" ht="61.5" customHeight="1">
      <c r="B190" s="361"/>
      <c r="C190" s="362" t="s">
        <v>19</v>
      </c>
      <c r="D190" s="363"/>
      <c r="E190" s="361"/>
      <c r="F190" s="363"/>
      <c r="G190" s="363"/>
      <c r="H190" s="364"/>
      <c r="I190" s="364"/>
      <c r="J190" s="365"/>
      <c r="K190" s="366"/>
      <c r="L190" s="1002"/>
      <c r="M190" s="1021"/>
      <c r="N190" s="1021"/>
      <c r="O190" s="1022"/>
      <c r="P190" s="367"/>
      <c r="Q190" s="368"/>
      <c r="R190" s="369"/>
      <c r="S190" s="370"/>
      <c r="T190" s="371"/>
      <c r="U190" s="370"/>
      <c r="V190" s="302"/>
      <c r="W190" s="208"/>
      <c r="X190" s="372"/>
      <c r="Y190" s="329" t="s">
        <v>20</v>
      </c>
      <c r="Z190" s="334">
        <f>$AR190/12</f>
        <v>129.2697356152091</v>
      </c>
      <c r="AA190" s="334">
        <f>$AR190/12</f>
        <v>129.2697356152091</v>
      </c>
      <c r="AB190" s="334">
        <f>$AR190/12</f>
        <v>129.2697356152091</v>
      </c>
      <c r="AC190" s="192">
        <f>SUM(Z190:AB190)</f>
        <v>387.80920684562727</v>
      </c>
      <c r="AD190" s="334">
        <f>$AR190/12</f>
        <v>129.2697356152091</v>
      </c>
      <c r="AE190" s="334">
        <f>$AR190/12</f>
        <v>129.2697356152091</v>
      </c>
      <c r="AF190" s="334">
        <f>$AR190/12</f>
        <v>129.2697356152091</v>
      </c>
      <c r="AG190" s="325">
        <f>SUM(AD190:AF190)</f>
        <v>387.80920684562727</v>
      </c>
      <c r="AH190" s="192">
        <f>AC190+AG190</f>
        <v>775.61841369125455</v>
      </c>
      <c r="AI190" s="334">
        <f>$AR190/12</f>
        <v>129.2697356152091</v>
      </c>
      <c r="AJ190" s="334">
        <f>$AR190/12</f>
        <v>129.2697356152091</v>
      </c>
      <c r="AK190" s="334">
        <f>$AR190/12</f>
        <v>129.2697356152091</v>
      </c>
      <c r="AL190" s="325">
        <f>SUM(AI190:AK190)</f>
        <v>387.80920684562727</v>
      </c>
      <c r="AM190" s="192">
        <f>AH190+AL190</f>
        <v>1163.4276205368819</v>
      </c>
      <c r="AN190" s="334">
        <f>$AR190/12</f>
        <v>129.2697356152091</v>
      </c>
      <c r="AO190" s="334">
        <f>$AR190/12</f>
        <v>129.2697356152091</v>
      </c>
      <c r="AP190" s="334">
        <f>$AR190/12</f>
        <v>129.2697356152091</v>
      </c>
      <c r="AQ190" s="192">
        <f>SUM(AN190:AP190)</f>
        <v>387.80920684562727</v>
      </c>
      <c r="AR190" s="543">
        <f>U158*12/1000</f>
        <v>1551.2368273825091</v>
      </c>
      <c r="AS190" s="326">
        <f>AQ190+AM190-AR190</f>
        <v>0</v>
      </c>
      <c r="AT190" s="340"/>
      <c r="AU190" s="328">
        <f>AC190+AG190+AL190+AQ190-AR190</f>
        <v>0</v>
      </c>
    </row>
    <row r="191" spans="2:49" ht="149.25" customHeight="1">
      <c r="B191" s="206" t="s">
        <v>21</v>
      </c>
      <c r="C191" s="373" t="s">
        <v>504</v>
      </c>
      <c r="D191" s="170" t="str">
        <f t="shared" ref="D191:P191" si="64">D209</f>
        <v>1.ЗП начисление за отраб время (базов+тариф+отпускные) без резерва</v>
      </c>
      <c r="E191" s="559" t="str">
        <f t="shared" si="64"/>
        <v xml:space="preserve">2. выплата аванса (гр1 х0, 4)- касса </v>
      </c>
      <c r="F191" s="170" t="str">
        <f t="shared" si="64"/>
        <v xml:space="preserve">3.  выплата ЗП  пред месяц касса </v>
      </c>
      <c r="G191" s="170" t="str">
        <f t="shared" si="64"/>
        <v>4. итоговыплата по  кассе (2+3)</v>
      </c>
      <c r="H191" s="170" t="str">
        <f t="shared" si="64"/>
        <v>5. Cальдо расчетов по   ЗП (+КЗ;-ДЗ (пред.стр.(5)+начисл(1)-выплата(3))</v>
      </c>
      <c r="I191" s="559" t="str">
        <f t="shared" si="64"/>
        <v>6. Начисление 1/12 резерват</v>
      </c>
      <c r="J191" s="559" t="str">
        <f t="shared" si="64"/>
        <v>7. выплачены отпускные касса</v>
      </c>
      <c r="K191" s="170" t="str">
        <f t="shared" si="64"/>
        <v>8. Сальдо  резерва (-недостат),(+ наличие)</v>
      </c>
      <c r="L191" s="559" t="str">
        <f t="shared" si="64"/>
        <v>9. всего факт расход ЗП (ФЗП(базов+стим) +1/12 резерва)</v>
      </c>
      <c r="M191" s="170" t="str">
        <f t="shared" si="64"/>
        <v>10. в ПФХД - всего КР ФЗП( (2)зп.пред.мес.+(3)аванс+(7)отпуск))</v>
      </c>
      <c r="N191" s="170" t="str">
        <f t="shared" si="64"/>
        <v>11. Свернутое сальдо задолженности по ЗП и резерва (ЗП-остаток резерва),(+КЗ,-ДЗ)</v>
      </c>
      <c r="O191" s="170" t="str">
        <f t="shared" si="64"/>
        <v>13. факт расхожды ФЗП по смете (=раздел 5 )</v>
      </c>
      <c r="P191" s="170" t="str">
        <f t="shared" si="64"/>
        <v>К</v>
      </c>
      <c r="Q191" s="560"/>
      <c r="R191" s="1023" t="s">
        <v>22</v>
      </c>
      <c r="S191" s="1024"/>
      <c r="T191" s="1024"/>
      <c r="U191" s="1024"/>
      <c r="V191" s="1025" t="s">
        <v>23</v>
      </c>
      <c r="W191" s="1026"/>
      <c r="X191" s="1027"/>
      <c r="Y191" s="329" t="s">
        <v>24</v>
      </c>
      <c r="Z191" s="374">
        <f t="shared" ref="Z191:AR191" si="65">Z190/Z182*100</f>
        <v>9.8232936628353489</v>
      </c>
      <c r="AA191" s="374">
        <f t="shared" si="65"/>
        <v>9.0545620112738181</v>
      </c>
      <c r="AB191" s="374">
        <f t="shared" si="65"/>
        <v>8.9468576335335399</v>
      </c>
      <c r="AC191" s="374">
        <f t="shared" si="65"/>
        <v>9.2589305676114293</v>
      </c>
      <c r="AD191" s="374">
        <f t="shared" si="65"/>
        <v>8.9584634206846054</v>
      </c>
      <c r="AE191" s="374">
        <f t="shared" si="65"/>
        <v>9.6188595293940402</v>
      </c>
      <c r="AF191" s="374">
        <f t="shared" si="65"/>
        <v>13.438947814493437</v>
      </c>
      <c r="AG191" s="374">
        <f t="shared" si="65"/>
        <v>10.344852476312331</v>
      </c>
      <c r="AH191" s="374">
        <f t="shared" si="65"/>
        <v>9.771815021187658</v>
      </c>
      <c r="AI191" s="374">
        <f t="shared" si="65"/>
        <v>9.2956611527229835</v>
      </c>
      <c r="AJ191" s="374">
        <f t="shared" si="65"/>
        <v>8.6351076928809327</v>
      </c>
      <c r="AK191" s="374">
        <f t="shared" si="65"/>
        <v>8.6221863304609911</v>
      </c>
      <c r="AL191" s="374">
        <f t="shared" si="65"/>
        <v>8.8400850691502448</v>
      </c>
      <c r="AM191" s="374">
        <f t="shared" si="65"/>
        <v>9.4401562107914714</v>
      </c>
      <c r="AN191" s="374">
        <f t="shared" si="65"/>
        <v>8.3185499374662726</v>
      </c>
      <c r="AO191" s="374">
        <f t="shared" si="65"/>
        <v>8.7717136270164442</v>
      </c>
      <c r="AP191" s="374">
        <f t="shared" si="65"/>
        <v>9.4271937755685009</v>
      </c>
      <c r="AQ191" s="374">
        <f t="shared" si="65"/>
        <v>8.8159535430027773</v>
      </c>
      <c r="AR191" s="561">
        <f t="shared" si="65"/>
        <v>9.2759629449049257</v>
      </c>
      <c r="AS191" s="375"/>
      <c r="AT191" s="340"/>
      <c r="AU191" s="328"/>
    </row>
    <row r="192" spans="2:49" ht="90.75" customHeight="1">
      <c r="B192" s="206" t="str">
        <f>B210</f>
        <v>кредиторка на нач года педагогов</v>
      </c>
      <c r="C192" s="373">
        <f>E157</f>
        <v>1750</v>
      </c>
      <c r="D192" s="373"/>
      <c r="E192" s="376">
        <f>E210+E228</f>
        <v>0</v>
      </c>
      <c r="F192" s="562">
        <f>C192</f>
        <v>1750</v>
      </c>
      <c r="G192" s="562">
        <f>E192+F192</f>
        <v>1750</v>
      </c>
      <c r="H192" s="562">
        <f>C192+D192-M192</f>
        <v>0</v>
      </c>
      <c r="I192" s="376">
        <f>I210+I228</f>
        <v>0</v>
      </c>
      <c r="J192" s="376">
        <f>J210+J228</f>
        <v>0</v>
      </c>
      <c r="K192" s="563">
        <f>I192-J192</f>
        <v>0</v>
      </c>
      <c r="L192" s="376">
        <f>L210+L228</f>
        <v>0</v>
      </c>
      <c r="M192" s="564">
        <f>G192+J192</f>
        <v>1750</v>
      </c>
      <c r="N192" s="565">
        <f>H192-K192</f>
        <v>0</v>
      </c>
      <c r="O192" s="566">
        <f>-M192+F192-H192</f>
        <v>0</v>
      </c>
      <c r="P192" s="567">
        <f>O192-M192+F192-H192-K192</f>
        <v>0</v>
      </c>
      <c r="Q192" s="568"/>
      <c r="R192" s="377"/>
      <c r="S192" s="378" t="s">
        <v>25</v>
      </c>
      <c r="T192" s="378" t="s">
        <v>26</v>
      </c>
      <c r="U192" s="378" t="s">
        <v>231</v>
      </c>
      <c r="V192" s="378" t="s">
        <v>25</v>
      </c>
      <c r="W192" s="378" t="s">
        <v>26</v>
      </c>
      <c r="X192" s="378" t="s">
        <v>231</v>
      </c>
      <c r="Y192" s="569" t="s">
        <v>27</v>
      </c>
      <c r="Z192" s="379">
        <f>$AR190/$AR189*Z189</f>
        <v>13.589459723018038</v>
      </c>
      <c r="AA192" s="379">
        <f>$AR190/$AR189*AA189</f>
        <v>40.768379169054114</v>
      </c>
      <c r="AB192" s="379">
        <f>$AR190/$AR189*AB189</f>
        <v>105.3183128533898</v>
      </c>
      <c r="AC192" s="192">
        <f>SUM(Z192:AB192)</f>
        <v>159.67615174546194</v>
      </c>
      <c r="AD192" s="379">
        <f>$AR190/$AR189*AD189</f>
        <v>183.45770626074352</v>
      </c>
      <c r="AE192" s="379">
        <f>$AR190/$AR189*AE189</f>
        <v>152.20194889780203</v>
      </c>
      <c r="AF192" s="379">
        <f>$AR190/$AR189*AF189</f>
        <v>751.4971226828975</v>
      </c>
      <c r="AG192" s="325">
        <f>SUM(AD192:AF192)</f>
        <v>1087.156777841443</v>
      </c>
      <c r="AH192" s="192">
        <f>AC192+AG192</f>
        <v>1246.832929586905</v>
      </c>
      <c r="AI192" s="379">
        <f>$AR190/$AR189*AI189</f>
        <v>171.22719251002727</v>
      </c>
      <c r="AJ192" s="379">
        <f>$AR190/$AR189*AJ189</f>
        <v>76.100974448901013</v>
      </c>
      <c r="AK192" s="379">
        <f>$AR190/$AR189*AK189</f>
        <v>38.050487224450507</v>
      </c>
      <c r="AL192" s="325">
        <f>SUM(AI192:AK192)</f>
        <v>285.37865418337879</v>
      </c>
      <c r="AM192" s="192">
        <f>AH192+AL192</f>
        <v>1532.2115837702838</v>
      </c>
      <c r="AN192" s="379">
        <f>$AR190/$AR189*AN189</f>
        <v>0</v>
      </c>
      <c r="AO192" s="379">
        <f>$AR190/$AR189*AO189</f>
        <v>19.025243612225253</v>
      </c>
      <c r="AP192" s="379">
        <f>$AR190/$AR189*AP189</f>
        <v>0</v>
      </c>
      <c r="AQ192" s="192">
        <f>SUM(AN192:AP192)</f>
        <v>19.025243612225253</v>
      </c>
      <c r="AR192" s="545">
        <f>AM192+AQ192</f>
        <v>1551.2368273825091</v>
      </c>
      <c r="AS192" s="380">
        <f>AC192+AG192+AL192+AQ192-AR192</f>
        <v>0</v>
      </c>
      <c r="AT192" s="353"/>
      <c r="AU192" s="354"/>
    </row>
    <row r="193" spans="2:54" ht="36" customHeight="1">
      <c r="B193" s="206">
        <f t="shared" ref="B193:B204" si="66">B211</f>
        <v>1</v>
      </c>
      <c r="C193" s="373"/>
      <c r="D193" s="562">
        <f>L193-I193+J193</f>
        <v>2567.5685575490761</v>
      </c>
      <c r="E193" s="376">
        <f t="shared" ref="E193:E204" si="67">E211+E229</f>
        <v>1021.5916391304233</v>
      </c>
      <c r="F193" s="570"/>
      <c r="G193" s="562">
        <f>E193+F193</f>
        <v>1021.5916391304233</v>
      </c>
      <c r="H193" s="562">
        <f t="shared" ref="H193:H204" si="68">H192+D193-M193</f>
        <v>1532.3874586956347</v>
      </c>
      <c r="I193" s="376">
        <f t="shared" ref="I193:J204" si="69">I211+I229</f>
        <v>434.34190867266898</v>
      </c>
      <c r="J193" s="376">
        <f t="shared" si="69"/>
        <v>13.589459723018038</v>
      </c>
      <c r="K193" s="563">
        <f t="shared" ref="K193:K204" si="70">K192+I193-J193</f>
        <v>420.75244894965095</v>
      </c>
      <c r="L193" s="376">
        <f t="shared" ref="L193:M204" si="71">L211+L229</f>
        <v>2988.321006498727</v>
      </c>
      <c r="M193" s="564">
        <f t="shared" ref="M193:M203" si="72">G193+J193</f>
        <v>1035.1810988534414</v>
      </c>
      <c r="N193" s="565">
        <f>H193-K193</f>
        <v>1111.6350097459838</v>
      </c>
      <c r="O193" s="566">
        <f t="shared" ref="O193:O205" si="73">D193+I193-J193</f>
        <v>2988.321006498727</v>
      </c>
      <c r="P193" s="567">
        <f t="shared" ref="P193:P204" si="74">O193-M193+K192+F193-H193-K193</f>
        <v>0</v>
      </c>
      <c r="Q193" s="568"/>
      <c r="R193" s="381" t="s">
        <v>28</v>
      </c>
      <c r="S193" s="382">
        <f>AR155</f>
        <v>12847.195529999999</v>
      </c>
      <c r="T193" s="382">
        <f>AR183</f>
        <v>7439.991</v>
      </c>
      <c r="U193" s="382">
        <f t="shared" ref="U193:U222" si="75">S193+T193</f>
        <v>20287.186529999999</v>
      </c>
      <c r="V193" s="383">
        <f t="shared" ref="V193:X212" si="76">S193/$U$219*100</f>
        <v>32.250144633952409</v>
      </c>
      <c r="W193" s="383">
        <f t="shared" si="76"/>
        <v>18.67651078128366</v>
      </c>
      <c r="X193" s="383">
        <f t="shared" si="76"/>
        <v>50.926655415236077</v>
      </c>
      <c r="Y193" s="329" t="s">
        <v>29</v>
      </c>
      <c r="Z193" s="384">
        <f>Z196+Z199+Z201+Z203+Z205</f>
        <v>569.23975768619641</v>
      </c>
      <c r="AA193" s="384">
        <f>AA196+AA199+AA201+AA203+AA205</f>
        <v>618.72960284561009</v>
      </c>
      <c r="AB193" s="384">
        <f>AB196+AB199+AB201+AB203+AB205</f>
        <v>621.66149416305223</v>
      </c>
      <c r="AC193" s="192">
        <f>SUM(Z193:AB193)</f>
        <v>1809.630854694859</v>
      </c>
      <c r="AD193" s="384">
        <f>AD196+AD199+AD201+AD203+AD205</f>
        <v>639.5648657253231</v>
      </c>
      <c r="AE193" s="384">
        <f>AE196+AE199+AE201+AE203+AE205</f>
        <v>600.3373470920634</v>
      </c>
      <c r="AF193" s="384">
        <f>AF196+AF199+AF201+AF203+AF205</f>
        <v>517.73112273202742</v>
      </c>
      <c r="AG193" s="325">
        <f>SUM(AD193:AF193)</f>
        <v>1757.6333355494139</v>
      </c>
      <c r="AH193" s="192">
        <f>AC193+AG193</f>
        <v>3567.2641902442729</v>
      </c>
      <c r="AI193" s="384">
        <f>AI196+AI199+AI201+AI203+AI205</f>
        <v>553.98788029857508</v>
      </c>
      <c r="AJ193" s="384">
        <f>AJ196+AJ199+AJ201+AJ203+AJ205</f>
        <v>604.56910134454631</v>
      </c>
      <c r="AK193" s="384">
        <f>AK196+AK199+AK201+AK203+AK205</f>
        <v>610.55223384597866</v>
      </c>
      <c r="AL193" s="325">
        <f>SUM(AI193:AK193)</f>
        <v>1769.1092154891001</v>
      </c>
      <c r="AM193" s="192">
        <f>AH193+AL193</f>
        <v>5336.3734057333731</v>
      </c>
      <c r="AN193" s="384">
        <f>AN196+AN199+AN201+AN203+AN205</f>
        <v>616.89915830959671</v>
      </c>
      <c r="AO193" s="384">
        <f>AO196+AO199+AO201+AO203+AO205</f>
        <v>573.83530390086503</v>
      </c>
      <c r="AP193" s="384">
        <f>AP196+AP199+AP201+AP203+AP205</f>
        <v>434.14854381965347</v>
      </c>
      <c r="AQ193" s="192">
        <f>SUM(AN193:AP193)</f>
        <v>1624.8830060301152</v>
      </c>
      <c r="AR193" s="533">
        <f>AR182-AR185-AR190</f>
        <v>6961.2564117634884</v>
      </c>
      <c r="AS193" s="326">
        <f>AQ193+AM193-AR193</f>
        <v>0</v>
      </c>
      <c r="AT193" s="327">
        <f>AR193/(AR$153-AR$189)*1000</f>
        <v>22093.428405057293</v>
      </c>
      <c r="AU193" s="328">
        <f>AC193+AG193+AL193+AQ193-AR193</f>
        <v>0</v>
      </c>
    </row>
    <row r="194" spans="2:54" ht="25.5" customHeight="1">
      <c r="B194" s="206">
        <f t="shared" si="66"/>
        <v>2</v>
      </c>
      <c r="C194" s="373"/>
      <c r="D194" s="562">
        <f t="shared" ref="D194:D204" si="77">L194-I194+J194</f>
        <v>3005.6181418411688</v>
      </c>
      <c r="E194" s="376">
        <f t="shared" si="67"/>
        <v>1183.7178315776841</v>
      </c>
      <c r="F194" s="562">
        <f>H193</f>
        <v>1532.3874586956347</v>
      </c>
      <c r="G194" s="562">
        <f t="shared" ref="G194:G204" si="78">E194+F194</f>
        <v>2716.105290273319</v>
      </c>
      <c r="H194" s="562">
        <f t="shared" si="68"/>
        <v>1775.5767473665251</v>
      </c>
      <c r="I194" s="376">
        <f t="shared" si="69"/>
        <v>434.34190867266898</v>
      </c>
      <c r="J194" s="376">
        <f t="shared" si="69"/>
        <v>46.323562896959302</v>
      </c>
      <c r="K194" s="563">
        <f t="shared" si="70"/>
        <v>808.77079472536059</v>
      </c>
      <c r="L194" s="376">
        <f t="shared" si="71"/>
        <v>3393.6364876168786</v>
      </c>
      <c r="M194" s="564">
        <f t="shared" si="72"/>
        <v>2762.4288531702782</v>
      </c>
      <c r="N194" s="565">
        <f t="shared" ref="N194:N204" si="79">H194-K194</f>
        <v>966.80595264116448</v>
      </c>
      <c r="O194" s="566">
        <f t="shared" si="73"/>
        <v>3393.6364876168786</v>
      </c>
      <c r="P194" s="567">
        <f t="shared" si="74"/>
        <v>0</v>
      </c>
      <c r="Q194" s="568"/>
      <c r="R194" s="385" t="s">
        <v>30</v>
      </c>
      <c r="S194" s="386">
        <f>S193/1.3</f>
        <v>9882.4580999999998</v>
      </c>
      <c r="T194" s="386">
        <f>T193/1.3</f>
        <v>5723.07</v>
      </c>
      <c r="U194" s="382">
        <f t="shared" si="75"/>
        <v>15605.5281</v>
      </c>
      <c r="V194" s="383">
        <f t="shared" si="76"/>
        <v>24.80780356457878</v>
      </c>
      <c r="W194" s="383">
        <f t="shared" si="76"/>
        <v>14.366546754833584</v>
      </c>
      <c r="X194" s="383">
        <f t="shared" si="76"/>
        <v>39.174350319412369</v>
      </c>
      <c r="Y194" s="329" t="s">
        <v>612</v>
      </c>
      <c r="Z194" s="384">
        <f t="shared" ref="Z194:AR194" si="80">Z193/Z182*100</f>
        <v>43.256909884596716</v>
      </c>
      <c r="AA194" s="384">
        <f t="shared" si="80"/>
        <v>43.338261121323605</v>
      </c>
      <c r="AB194" s="384">
        <f t="shared" si="80"/>
        <v>43.025669218373402</v>
      </c>
      <c r="AC194" s="384">
        <f t="shared" si="80"/>
        <v>43.204870180652215</v>
      </c>
      <c r="AD194" s="384">
        <f t="shared" si="80"/>
        <v>44.322195195093038</v>
      </c>
      <c r="AE194" s="384">
        <f t="shared" si="80"/>
        <v>44.670630634818373</v>
      </c>
      <c r="AF194" s="384">
        <f t="shared" si="80"/>
        <v>53.823592252448336</v>
      </c>
      <c r="AG194" s="384">
        <f t="shared" si="80"/>
        <v>46.885059051589849</v>
      </c>
      <c r="AH194" s="384">
        <f t="shared" si="80"/>
        <v>44.943035368226532</v>
      </c>
      <c r="AI194" s="384">
        <f t="shared" si="80"/>
        <v>39.836730488098361</v>
      </c>
      <c r="AJ194" s="384">
        <f t="shared" si="80"/>
        <v>40.384698499253282</v>
      </c>
      <c r="AK194" s="384">
        <f t="shared" si="80"/>
        <v>40.72333790771561</v>
      </c>
      <c r="AL194" s="384">
        <f t="shared" si="80"/>
        <v>40.32672686846923</v>
      </c>
      <c r="AM194" s="384">
        <f t="shared" si="80"/>
        <v>43.299813121154415</v>
      </c>
      <c r="AN194" s="384">
        <f t="shared" si="80"/>
        <v>39.697663419492031</v>
      </c>
      <c r="AO194" s="384">
        <f t="shared" si="80"/>
        <v>38.938108219493614</v>
      </c>
      <c r="AP194" s="384">
        <f t="shared" si="80"/>
        <v>31.660948562249793</v>
      </c>
      <c r="AQ194" s="384">
        <f t="shared" si="80"/>
        <v>36.93799126248804</v>
      </c>
      <c r="AR194" s="533">
        <f t="shared" si="80"/>
        <v>41.626368962923983</v>
      </c>
      <c r="AS194" s="375"/>
      <c r="AT194" s="387"/>
      <c r="AU194" s="328"/>
    </row>
    <row r="195" spans="2:54" ht="108.75" customHeight="1">
      <c r="B195" s="206">
        <f t="shared" si="66"/>
        <v>3</v>
      </c>
      <c r="C195" s="373"/>
      <c r="D195" s="562">
        <f t="shared" si="77"/>
        <v>3353.123623271119</v>
      </c>
      <c r="E195" s="376">
        <f t="shared" si="67"/>
        <v>1288.752447875002</v>
      </c>
      <c r="F195" s="562">
        <f t="shared" ref="F195:F204" si="81">H194</f>
        <v>1775.5767473665251</v>
      </c>
      <c r="G195" s="562">
        <f t="shared" si="78"/>
        <v>3064.329195241527</v>
      </c>
      <c r="H195" s="562">
        <f t="shared" si="68"/>
        <v>1933.1286718125025</v>
      </c>
      <c r="I195" s="376">
        <f t="shared" si="69"/>
        <v>434.34190867266898</v>
      </c>
      <c r="J195" s="376">
        <f t="shared" si="69"/>
        <v>131.242503583614</v>
      </c>
      <c r="K195" s="563">
        <f t="shared" si="70"/>
        <v>1111.8701998144156</v>
      </c>
      <c r="L195" s="376">
        <f t="shared" si="71"/>
        <v>3656.2230283601739</v>
      </c>
      <c r="M195" s="564">
        <f t="shared" si="72"/>
        <v>3195.5716988251411</v>
      </c>
      <c r="N195" s="565">
        <f t="shared" si="79"/>
        <v>821.25847199808686</v>
      </c>
      <c r="O195" s="566">
        <f t="shared" si="73"/>
        <v>3656.2230283601739</v>
      </c>
      <c r="P195" s="567">
        <f t="shared" si="74"/>
        <v>0</v>
      </c>
      <c r="Q195" s="568"/>
      <c r="R195" s="385" t="s">
        <v>31</v>
      </c>
      <c r="S195" s="386">
        <f>S193-S194</f>
        <v>2964.7374299999992</v>
      </c>
      <c r="T195" s="386">
        <f>T193-T194</f>
        <v>1716.9210000000003</v>
      </c>
      <c r="U195" s="382">
        <f t="shared" si="75"/>
        <v>4681.6584299999995</v>
      </c>
      <c r="V195" s="383">
        <f t="shared" si="76"/>
        <v>7.4423410693736329</v>
      </c>
      <c r="W195" s="383">
        <f t="shared" si="76"/>
        <v>4.3099640264500767</v>
      </c>
      <c r="X195" s="383">
        <f t="shared" si="76"/>
        <v>11.75230509582371</v>
      </c>
      <c r="Y195" s="329" t="s">
        <v>32</v>
      </c>
      <c r="Z195" s="571">
        <f>AI$153-AI187/$G$173</f>
        <v>27.145787492363787</v>
      </c>
      <c r="AA195" s="572">
        <f>AJ$153-AJ187/$G$173</f>
        <v>29.287016663272794</v>
      </c>
      <c r="AB195" s="572">
        <f>AK$153-AK187/$G$173</f>
        <v>29.143508331636397</v>
      </c>
      <c r="AC195" s="573">
        <f>SUM(Z195:AB195)</f>
        <v>85.576312487272986</v>
      </c>
      <c r="AD195" s="572">
        <f>AN$153-AN187/$G$173</f>
        <v>31</v>
      </c>
      <c r="AE195" s="572">
        <f>AO$153-AO187/$G$173</f>
        <v>29.571754165818199</v>
      </c>
      <c r="AF195" s="572">
        <f>AP$153-AP187/$G$173</f>
        <v>31</v>
      </c>
      <c r="AG195" s="571">
        <f>SUM(AD195:AF195)</f>
        <v>91.571754165818191</v>
      </c>
      <c r="AH195" s="573">
        <f>AC195+AG195</f>
        <v>177.14806665309118</v>
      </c>
      <c r="AI195" s="572">
        <f>Z$153-Z187/$G$173</f>
        <v>23.694110118441571</v>
      </c>
      <c r="AJ195" s="572">
        <f>AA$153-AA187/$G$173</f>
        <v>26.082330355324711</v>
      </c>
      <c r="AK195" s="572">
        <f>AB$153-AB187/$G$173</f>
        <v>26.629353417922172</v>
      </c>
      <c r="AL195" s="571">
        <f>SUM(AI195:AK195)</f>
        <v>76.405793891688461</v>
      </c>
      <c r="AM195" s="573">
        <f>AH195+AL195</f>
        <v>253.55386054477964</v>
      </c>
      <c r="AN195" s="571">
        <f>AD$153-AD187/$G$173</f>
        <v>25.8704865989612</v>
      </c>
      <c r="AO195" s="571">
        <f>AE$153-AE187/$G$173</f>
        <v>23.574033326545589</v>
      </c>
      <c r="AP195" s="572">
        <f>AF$153-AF187/$G$173</f>
        <v>12.084289549818848</v>
      </c>
      <c r="AQ195" s="533">
        <f>SUM(AN195:AP195)</f>
        <v>61.528809475325637</v>
      </c>
      <c r="AR195" s="533">
        <f>AM195+AQ195</f>
        <v>315.0826700201053</v>
      </c>
      <c r="AS195" s="574">
        <f>AR195-AH195-AL195-AQ195</f>
        <v>0</v>
      </c>
      <c r="AT195" s="575"/>
      <c r="AU195" s="576">
        <f>AC195+AG195+AL195+AQ195-AR195</f>
        <v>0</v>
      </c>
      <c r="AV195" s="525" t="s">
        <v>617</v>
      </c>
      <c r="AW195" s="1013" t="s">
        <v>618</v>
      </c>
      <c r="AX195" s="1014"/>
      <c r="AY195" s="1014"/>
      <c r="AZ195" s="1013" t="s">
        <v>619</v>
      </c>
      <c r="BA195" s="1014"/>
      <c r="BB195" s="526" t="s">
        <v>620</v>
      </c>
    </row>
    <row r="196" spans="2:54" ht="55.8">
      <c r="B196" s="206">
        <f t="shared" si="66"/>
        <v>4</v>
      </c>
      <c r="C196" s="373"/>
      <c r="D196" s="562">
        <f t="shared" si="77"/>
        <v>3491.9352453416045</v>
      </c>
      <c r="E196" s="376">
        <f t="shared" si="67"/>
        <v>1323.3910156323445</v>
      </c>
      <c r="F196" s="562">
        <f t="shared" si="81"/>
        <v>1933.1286718125025</v>
      </c>
      <c r="G196" s="562">
        <f t="shared" si="78"/>
        <v>3256.519687444847</v>
      </c>
      <c r="H196" s="562">
        <f t="shared" si="68"/>
        <v>1985.0865234485163</v>
      </c>
      <c r="I196" s="376">
        <f t="shared" si="69"/>
        <v>434.34190867266898</v>
      </c>
      <c r="J196" s="376">
        <f t="shared" si="69"/>
        <v>183.45770626074352</v>
      </c>
      <c r="K196" s="563">
        <f t="shared" si="70"/>
        <v>1362.754402226341</v>
      </c>
      <c r="L196" s="376">
        <f t="shared" si="71"/>
        <v>3742.8194477535299</v>
      </c>
      <c r="M196" s="564">
        <f t="shared" si="72"/>
        <v>3439.9773937055907</v>
      </c>
      <c r="N196" s="565">
        <f t="shared" si="79"/>
        <v>622.33212122217537</v>
      </c>
      <c r="O196" s="566">
        <f t="shared" si="73"/>
        <v>3742.8194477535299</v>
      </c>
      <c r="P196" s="567">
        <f t="shared" si="74"/>
        <v>0</v>
      </c>
      <c r="Q196" s="568"/>
      <c r="R196" s="381" t="s">
        <v>33</v>
      </c>
      <c r="S196" s="382">
        <f>AR156</f>
        <v>1751.4642600000002</v>
      </c>
      <c r="T196" s="382">
        <f>AR184</f>
        <v>770.70489599999996</v>
      </c>
      <c r="U196" s="382">
        <f t="shared" si="75"/>
        <v>2522.1691559999999</v>
      </c>
      <c r="V196" s="383">
        <f t="shared" si="76"/>
        <v>4.3966775141156775</v>
      </c>
      <c r="W196" s="383">
        <f t="shared" si="76"/>
        <v>1.9346902838097657</v>
      </c>
      <c r="X196" s="383">
        <f t="shared" si="76"/>
        <v>6.3313677979254424</v>
      </c>
      <c r="Y196" s="577" t="s">
        <v>34</v>
      </c>
      <c r="Z196" s="291">
        <f>IF(Z$195&lt;0,0,($AT196*Z$195)/1000)</f>
        <v>359.84610747686344</v>
      </c>
      <c r="AA196" s="291">
        <f>IF(AA$195&lt;0,0,($AT196*AA$195)/1000)</f>
        <v>388.23036350864248</v>
      </c>
      <c r="AB196" s="291">
        <f>IF(AB$195&lt;0,0,($AT196*AB$195)/1000)</f>
        <v>386.32800887831968</v>
      </c>
      <c r="AC196" s="192">
        <f>SUM(Z196:AB196)</f>
        <v>1134.4044798638256</v>
      </c>
      <c r="AD196" s="291">
        <f>IF(AD$195&lt;0,0,($AT196*AD$195)/1000)</f>
        <v>410.93776833406571</v>
      </c>
      <c r="AE196" s="291">
        <f>IF(AE$195&lt;0,0,($AT196*AE$195)/1000)</f>
        <v>392.0048600846755</v>
      </c>
      <c r="AF196" s="291">
        <f>IF(AF$195&lt;0,0,($AT196*AF$195)/1000)</f>
        <v>410.93776833406571</v>
      </c>
      <c r="AG196" s="325">
        <f>SUM(AD196:AF196)</f>
        <v>1213.880396752807</v>
      </c>
      <c r="AH196" s="192">
        <f>AC196+AG196</f>
        <v>2348.2848766166326</v>
      </c>
      <c r="AI196" s="291">
        <f>IF(AI$195&lt;0,0,($AT196*AI$195)/1000)</f>
        <v>314.09047531399943</v>
      </c>
      <c r="AJ196" s="291">
        <f>IF(AJ$195&lt;0,0,($AT196*AJ$195)/1000)</f>
        <v>345.74885900545144</v>
      </c>
      <c r="AK196" s="291">
        <f>IF(AK$195&lt;0,0,($AT196*AK$195)/1000)</f>
        <v>353.00022792709876</v>
      </c>
      <c r="AL196" s="325">
        <f>SUM(AI196:AK196)</f>
        <v>1012.8395622465497</v>
      </c>
      <c r="AM196" s="192">
        <f>AH196+AL196</f>
        <v>3361.1244388631821</v>
      </c>
      <c r="AN196" s="291">
        <f>IF(AN$195&lt;0,0,($AT196*AN$195)/1000)</f>
        <v>342.94064608688603</v>
      </c>
      <c r="AO196" s="291">
        <f>IF(AO$195&lt;0,0,($AT196*AO$195)/1000)</f>
        <v>312.49873051108176</v>
      </c>
      <c r="AP196" s="291">
        <f>IF(AP$195&lt;0,0,($AT196*AP$195)/1000)</f>
        <v>160.19003159694287</v>
      </c>
      <c r="AQ196" s="192">
        <f>SUM(AN196:AP196)</f>
        <v>815.62940819491064</v>
      </c>
      <c r="AR196" s="578">
        <f>AR193-AR199-AR201-AR203-AR205</f>
        <v>4176.753847058093</v>
      </c>
      <c r="AS196" s="326">
        <f>AQ196+AM196-AR196</f>
        <v>0</v>
      </c>
      <c r="AT196" s="327">
        <f>AR196/AR$195*1000</f>
        <v>13256.057043034376</v>
      </c>
      <c r="AU196" s="328">
        <f>AC196+AG196+AL196+AQ196-AR196</f>
        <v>0</v>
      </c>
    </row>
    <row r="197" spans="2:54" ht="24.75" customHeight="1">
      <c r="B197" s="206">
        <f t="shared" si="66"/>
        <v>5</v>
      </c>
      <c r="C197" s="373"/>
      <c r="D197" s="562">
        <f t="shared" si="77"/>
        <v>3182.932942437802</v>
      </c>
      <c r="E197" s="376">
        <f t="shared" si="67"/>
        <v>1212.2923974160001</v>
      </c>
      <c r="F197" s="562">
        <f t="shared" si="81"/>
        <v>1985.0865234485163</v>
      </c>
      <c r="G197" s="562">
        <f t="shared" si="78"/>
        <v>3197.3789208645167</v>
      </c>
      <c r="H197" s="562">
        <f t="shared" si="68"/>
        <v>1818.4385961239996</v>
      </c>
      <c r="I197" s="376">
        <f t="shared" si="69"/>
        <v>434.34190867266898</v>
      </c>
      <c r="J197" s="376">
        <f t="shared" si="69"/>
        <v>152.20194889780203</v>
      </c>
      <c r="K197" s="563">
        <f t="shared" si="70"/>
        <v>1644.8943620012078</v>
      </c>
      <c r="L197" s="376">
        <f t="shared" si="71"/>
        <v>3465.0729022126689</v>
      </c>
      <c r="M197" s="564">
        <f t="shared" si="72"/>
        <v>3349.5808697623188</v>
      </c>
      <c r="N197" s="565">
        <f t="shared" si="79"/>
        <v>173.54423412279175</v>
      </c>
      <c r="O197" s="566">
        <f t="shared" si="73"/>
        <v>3465.0729022126689</v>
      </c>
      <c r="P197" s="567">
        <f t="shared" si="74"/>
        <v>0</v>
      </c>
      <c r="Q197" s="568"/>
      <c r="R197" s="385" t="s">
        <v>35</v>
      </c>
      <c r="S197" s="386">
        <f>S196/1.3</f>
        <v>1347.2802000000001</v>
      </c>
      <c r="T197" s="386">
        <f>T196/1.3</f>
        <v>592.84992</v>
      </c>
      <c r="U197" s="382">
        <f t="shared" si="75"/>
        <v>1940.1301200000003</v>
      </c>
      <c r="V197" s="383">
        <f t="shared" si="76"/>
        <v>3.3820596262428291</v>
      </c>
      <c r="W197" s="383">
        <f t="shared" si="76"/>
        <v>1.4882232952382815</v>
      </c>
      <c r="X197" s="383">
        <f t="shared" si="76"/>
        <v>4.8702829214811105</v>
      </c>
      <c r="Y197" s="329" t="s">
        <v>627</v>
      </c>
      <c r="Z197" s="384">
        <f t="shared" ref="Z197:AQ197" si="82">Z196/Z$193*100</f>
        <v>63.215209868604262</v>
      </c>
      <c r="AA197" s="384">
        <f t="shared" si="82"/>
        <v>62.746369613337627</v>
      </c>
      <c r="AB197" s="384">
        <f t="shared" si="82"/>
        <v>62.144432702629601</v>
      </c>
      <c r="AC197" s="384">
        <f t="shared" si="82"/>
        <v>62.687065537192645</v>
      </c>
      <c r="AD197" s="384">
        <f t="shared" si="82"/>
        <v>64.252711547565383</v>
      </c>
      <c r="AE197" s="384">
        <f t="shared" si="82"/>
        <v>65.297430183793054</v>
      </c>
      <c r="AF197" s="384">
        <f t="shared" si="82"/>
        <v>79.372815403790796</v>
      </c>
      <c r="AG197" s="384">
        <f t="shared" si="82"/>
        <v>69.063346273718878</v>
      </c>
      <c r="AH197" s="384">
        <f t="shared" si="82"/>
        <v>65.828734609528055</v>
      </c>
      <c r="AI197" s="384">
        <f t="shared" si="82"/>
        <v>56.696271973444347</v>
      </c>
      <c r="AJ197" s="384">
        <f t="shared" si="82"/>
        <v>57.18930362741245</v>
      </c>
      <c r="AK197" s="384">
        <f t="shared" si="82"/>
        <v>57.81654842264463</v>
      </c>
      <c r="AL197" s="384">
        <f t="shared" si="82"/>
        <v>57.251386934103621</v>
      </c>
      <c r="AM197" s="384">
        <f t="shared" si="82"/>
        <v>62.985180820592625</v>
      </c>
      <c r="AN197" s="384">
        <f t="shared" si="82"/>
        <v>55.591038092287036</v>
      </c>
      <c r="AO197" s="384">
        <f t="shared" si="82"/>
        <v>54.457912991193133</v>
      </c>
      <c r="AP197" s="384">
        <f t="shared" si="82"/>
        <v>36.897516731850715</v>
      </c>
      <c r="AQ197" s="384">
        <f t="shared" si="82"/>
        <v>50.196192905459803</v>
      </c>
      <c r="AR197" s="561">
        <f>AR196/AR193*100</f>
        <v>60</v>
      </c>
      <c r="AS197" s="375"/>
      <c r="AT197" s="387"/>
      <c r="AU197" s="328"/>
    </row>
    <row r="198" spans="2:54" ht="100.5" customHeight="1">
      <c r="B198" s="206">
        <f t="shared" si="66"/>
        <v>6</v>
      </c>
      <c r="C198" s="373"/>
      <c r="D198" s="562">
        <f t="shared" si="77"/>
        <v>5645.6596816121055</v>
      </c>
      <c r="E198" s="376">
        <f t="shared" si="67"/>
        <v>505.91034267912778</v>
      </c>
      <c r="F198" s="562">
        <f t="shared" si="81"/>
        <v>1818.4385961239996</v>
      </c>
      <c r="G198" s="562">
        <f t="shared" si="78"/>
        <v>2324.3489388031276</v>
      </c>
      <c r="H198" s="562">
        <f t="shared" si="68"/>
        <v>758.8655140186911</v>
      </c>
      <c r="I198" s="376">
        <f t="shared" si="69"/>
        <v>434.34190867266898</v>
      </c>
      <c r="J198" s="376">
        <f t="shared" si="69"/>
        <v>4380.8838249142864</v>
      </c>
      <c r="K198" s="563">
        <f t="shared" si="70"/>
        <v>-2301.6475542404096</v>
      </c>
      <c r="L198" s="376">
        <f t="shared" si="71"/>
        <v>1699.1177653704883</v>
      </c>
      <c r="M198" s="564">
        <f t="shared" si="72"/>
        <v>6705.2327637174139</v>
      </c>
      <c r="N198" s="565">
        <f t="shared" si="79"/>
        <v>3060.5130682591007</v>
      </c>
      <c r="O198" s="566">
        <f t="shared" si="73"/>
        <v>1699.1177653704881</v>
      </c>
      <c r="P198" s="567">
        <f t="shared" si="74"/>
        <v>0</v>
      </c>
      <c r="Q198" s="568"/>
      <c r="R198" s="385" t="s">
        <v>31</v>
      </c>
      <c r="S198" s="386">
        <f>S196-S197</f>
        <v>404.18406000000004</v>
      </c>
      <c r="T198" s="386">
        <f>T196-T197</f>
        <v>177.85497599999997</v>
      </c>
      <c r="U198" s="382">
        <f t="shared" si="75"/>
        <v>582.03903600000001</v>
      </c>
      <c r="V198" s="383">
        <f t="shared" si="76"/>
        <v>1.0146178878728487</v>
      </c>
      <c r="W198" s="383">
        <f t="shared" si="76"/>
        <v>0.44646698857148437</v>
      </c>
      <c r="X198" s="383">
        <f t="shared" si="76"/>
        <v>1.4610848764443329</v>
      </c>
      <c r="Y198" s="579" t="s">
        <v>36</v>
      </c>
      <c r="Z198" s="580">
        <f>Z$153-Z187/$G$173</f>
        <v>23.694110118441571</v>
      </c>
      <c r="AA198" s="580">
        <f>AA$153-AA187/$G$173</f>
        <v>26.082330355324711</v>
      </c>
      <c r="AB198" s="580">
        <f>AB$153-AB187/$G$173</f>
        <v>26.629353417922172</v>
      </c>
      <c r="AC198" s="581">
        <f>SUM(Z198:AB198)</f>
        <v>76.405793891688461</v>
      </c>
      <c r="AD198" s="580">
        <f>AD$153-AD187/$G$173</f>
        <v>25.8704865989612</v>
      </c>
      <c r="AE198" s="580">
        <f>AE$153-AE187/$G$173</f>
        <v>23.574033326545589</v>
      </c>
      <c r="AF198" s="580">
        <f>AF$153-AF187/$G$173</f>
        <v>12.084289549818848</v>
      </c>
      <c r="AG198" s="581">
        <f>SUM(AD198:AF198)</f>
        <v>61.528809475325637</v>
      </c>
      <c r="AH198" s="573">
        <f>AC198+AG198</f>
        <v>137.93460336701409</v>
      </c>
      <c r="AI198" s="580">
        <f>AI$153-AI187/$G$173</f>
        <v>27.145787492363787</v>
      </c>
      <c r="AJ198" s="580">
        <f>AJ$153-AJ187/$G$173</f>
        <v>29.287016663272794</v>
      </c>
      <c r="AK198" s="580">
        <f>AK$153-AK187/$G$173</f>
        <v>29.143508331636397</v>
      </c>
      <c r="AL198" s="581">
        <f>SUM(AI198:AK198)</f>
        <v>85.576312487272986</v>
      </c>
      <c r="AM198" s="573">
        <f>AH198+AL198</f>
        <v>223.51091585428708</v>
      </c>
      <c r="AN198" s="580">
        <f>AN$153-AN187/$G$173</f>
        <v>31</v>
      </c>
      <c r="AO198" s="580">
        <f>AO$153-AO187/$G$173</f>
        <v>29.571754165818199</v>
      </c>
      <c r="AP198" s="580">
        <f>AP$153-AP187/$G$173</f>
        <v>31</v>
      </c>
      <c r="AQ198" s="581">
        <f>SUM(AN198:AP198)</f>
        <v>91.571754165818191</v>
      </c>
      <c r="AR198" s="533">
        <f>AM198+AQ198</f>
        <v>315.0826700201053</v>
      </c>
      <c r="AS198" s="582"/>
      <c r="AT198" s="582"/>
      <c r="AU198" s="582"/>
    </row>
    <row r="199" spans="2:54" ht="55.8">
      <c r="B199" s="206">
        <f t="shared" si="66"/>
        <v>7</v>
      </c>
      <c r="C199" s="373"/>
      <c r="D199" s="562">
        <f t="shared" si="77"/>
        <v>1915.8646402543372</v>
      </c>
      <c r="E199" s="376">
        <f t="shared" si="67"/>
        <v>735.90546632217445</v>
      </c>
      <c r="F199" s="562">
        <f t="shared" si="81"/>
        <v>758.8655140186911</v>
      </c>
      <c r="G199" s="562">
        <f t="shared" si="78"/>
        <v>1494.7709803408657</v>
      </c>
      <c r="H199" s="562">
        <f t="shared" si="68"/>
        <v>1103.8581994832616</v>
      </c>
      <c r="I199" s="376">
        <f t="shared" si="69"/>
        <v>434.34190867266898</v>
      </c>
      <c r="J199" s="376">
        <f t="shared" si="69"/>
        <v>76.100974448901013</v>
      </c>
      <c r="K199" s="563">
        <f t="shared" si="70"/>
        <v>-1943.4066200166417</v>
      </c>
      <c r="L199" s="376">
        <f t="shared" si="71"/>
        <v>2274.1055744781052</v>
      </c>
      <c r="M199" s="564">
        <f t="shared" si="72"/>
        <v>1570.8719547897667</v>
      </c>
      <c r="N199" s="565">
        <f t="shared" si="79"/>
        <v>3047.2648194999033</v>
      </c>
      <c r="O199" s="566">
        <f t="shared" si="73"/>
        <v>2274.1055744781052</v>
      </c>
      <c r="P199" s="567">
        <f t="shared" si="74"/>
        <v>0</v>
      </c>
      <c r="Q199" s="568"/>
      <c r="R199" s="381" t="s">
        <v>37</v>
      </c>
      <c r="S199" s="382">
        <f>S193+S196</f>
        <v>14598.65979</v>
      </c>
      <c r="T199" s="382">
        <f>T193+T196</f>
        <v>8210.6958959999993</v>
      </c>
      <c r="U199" s="382">
        <f t="shared" si="75"/>
        <v>22809.355685999999</v>
      </c>
      <c r="V199" s="383">
        <f t="shared" si="76"/>
        <v>36.64682214806809</v>
      </c>
      <c r="W199" s="383">
        <f t="shared" si="76"/>
        <v>20.611201065093425</v>
      </c>
      <c r="X199" s="383">
        <f t="shared" si="76"/>
        <v>57.258023213161515</v>
      </c>
      <c r="Y199" s="577" t="s">
        <v>38</v>
      </c>
      <c r="Z199" s="214">
        <f>IF(Z$198&lt;0,0,$AT199*Z$198)/1000</f>
        <v>160.18127564729215</v>
      </c>
      <c r="AA199" s="214">
        <f>IF(AA$198&lt;0,0,($AT199*(SUM(Z$198:AA$198))/1000)-Z199)</f>
        <v>176.32656079023891</v>
      </c>
      <c r="AB199" s="214">
        <f>IF(AB$198&lt;0,0,($AT199*(SUM(Z$198:AB$198))/1000)-SUM(Z199:AA199))</f>
        <v>180.02464658191218</v>
      </c>
      <c r="AC199" s="192">
        <f>SUM(Z199:AB199)</f>
        <v>516.53248301944325</v>
      </c>
      <c r="AD199" s="583">
        <f>IF(AD$198&lt;0,0,$AT199*(SUM(Z$198:AB$198)+AD$198)/1000)-SUM(Z199:AB199)</f>
        <v>174.89441571441216</v>
      </c>
      <c r="AE199" s="583">
        <f>IF(AE$198&lt;0,0,($AT199*(SUM(Z$198:AB$198)+SUM(AD$198:AE$198))/1000)-SUM(Z199:AB199)-AD199)</f>
        <v>159.3695104615399</v>
      </c>
      <c r="AF199" s="583">
        <f>IF(AF$198&lt;0,0,($AT199*(SUM(Z$198:AB$198)+SUM(AD$198:AF$198))/1000)-SUM(Z199:AB199)-SUM(AD199:AE199))</f>
        <v>81.694434005126368</v>
      </c>
      <c r="AG199" s="325">
        <f>SUM(AD199:AF199)</f>
        <v>415.95836018107843</v>
      </c>
      <c r="AH199" s="192">
        <f>AC199+AG199</f>
        <v>932.49084320052168</v>
      </c>
      <c r="AI199" s="583">
        <f>IF(AI$198&lt;0,0,$AT199*(SUM(Z$198:AB$198)+SUM(AD$198:AF$198)+AI$198)/1000)-SUM(Z199:AB199)-SUM(AD199:AF199)</f>
        <v>183.51593907689391</v>
      </c>
      <c r="AJ199" s="583">
        <f>IF(AJ$198&lt;0,0,($AT199*(SUM(Z$198:AB$198)+SUM(AD$198:AF$198)+SUM(AI$198:AJ$198))/1000)-SUM(Z199:AB199)-SUM(AD199:AF199)-AI199)</f>
        <v>197.99146984529557</v>
      </c>
      <c r="AK199" s="583">
        <f>IF(AK$198&lt;0,0,($AT199*(SUM(Z$198:AB$198)+SUM(AD$198:AF$198)+SUM(AI$198:AK$198))/1000)-SUM(Z199:AB199)-SUM(AD199:AF199)-SUM(AI199:AJ199))</f>
        <v>197.0212984603977</v>
      </c>
      <c r="AL199" s="325">
        <f>SUM(AI199:AK199)</f>
        <v>578.52870738258719</v>
      </c>
      <c r="AM199" s="192">
        <f>AH199+AL199</f>
        <v>1511.0195505831089</v>
      </c>
      <c r="AN199" s="214">
        <f>IF(AN$198&lt;0,0,($AT199*(SUM(Z$198:AB$198)+SUM(AD$198:AF$198)+SUM(AI$198:AK$198)+AN$198))/1000)-SUM(Z199:AB199)-SUM(AD199:AF199)-SUM(AI199:AK199)</f>
        <v>209.57189446001723</v>
      </c>
      <c r="AO199" s="214">
        <f>IF(AO$198&lt;0,0,($AT199*(SUM(Z$198:AB$198)+SUM(AD$198:AF$198)+SUM(AI$198:AK$198)+SUM(AN$198,AO$198))/1000)-SUM(Z199:AB199)-SUM(AD199:AF199)-SUM(AI199:AK199)-AN199)</f>
        <v>199.91640461407769</v>
      </c>
      <c r="AP199" s="214">
        <f>IF(AP$198&lt;0,0,($AT199*(SUM(Z$198:AB$198)+SUM(AD$198:AF$198)+SUM(AI$198:AK$198)+SUM(AN$198:AP$198))/1000)-SUM(Z199:AB199)-SUM(AD199:AF199)-SUM(AI199:AK199)-SUM(AN199:AO199))</f>
        <v>209.57189446001712</v>
      </c>
      <c r="AQ199" s="192">
        <f>SUM(AN199:AP199)</f>
        <v>619.06019353411205</v>
      </c>
      <c r="AR199" s="578">
        <f>U183*12/1000</f>
        <v>2130.0797441172208</v>
      </c>
      <c r="AS199" s="326">
        <f>AQ199+AM199-AR199</f>
        <v>0</v>
      </c>
      <c r="AT199" s="327">
        <f>AR199/(AR$153-AR$189)*1000</f>
        <v>6760.3836922586106</v>
      </c>
      <c r="AU199" s="328"/>
    </row>
    <row r="200" spans="2:54" ht="17.399999999999999">
      <c r="B200" s="206">
        <f t="shared" si="66"/>
        <v>8</v>
      </c>
      <c r="C200" s="373"/>
      <c r="D200" s="562">
        <f t="shared" si="77"/>
        <v>3336.2800642890093</v>
      </c>
      <c r="E200" s="376">
        <f t="shared" si="67"/>
        <v>1266.0211487115928</v>
      </c>
      <c r="F200" s="562">
        <f t="shared" si="81"/>
        <v>1103.8581994832616</v>
      </c>
      <c r="G200" s="562">
        <f t="shared" si="78"/>
        <v>2369.8793481948542</v>
      </c>
      <c r="H200" s="562">
        <f t="shared" si="68"/>
        <v>1899.0317230673895</v>
      </c>
      <c r="I200" s="376">
        <f t="shared" si="69"/>
        <v>434.34190867266898</v>
      </c>
      <c r="J200" s="376">
        <f t="shared" si="69"/>
        <v>171.22719251002727</v>
      </c>
      <c r="K200" s="563">
        <f t="shared" si="70"/>
        <v>-1680.2919038539999</v>
      </c>
      <c r="L200" s="376">
        <f t="shared" si="71"/>
        <v>3599.3947804516511</v>
      </c>
      <c r="M200" s="564">
        <f t="shared" si="72"/>
        <v>2541.1065407048814</v>
      </c>
      <c r="N200" s="565">
        <f t="shared" si="79"/>
        <v>3579.3236269213894</v>
      </c>
      <c r="O200" s="566">
        <f t="shared" si="73"/>
        <v>3599.3947804516511</v>
      </c>
      <c r="P200" s="567">
        <f t="shared" si="74"/>
        <v>0</v>
      </c>
      <c r="Q200" s="568"/>
      <c r="R200" s="385" t="s">
        <v>39</v>
      </c>
      <c r="S200" s="386">
        <f>S194+S197</f>
        <v>11229.738300000001</v>
      </c>
      <c r="T200" s="386">
        <f>T194+T197</f>
        <v>6315.9199199999994</v>
      </c>
      <c r="U200" s="382">
        <f t="shared" si="75"/>
        <v>17545.658220000001</v>
      </c>
      <c r="V200" s="383">
        <f t="shared" si="76"/>
        <v>28.189863190821612</v>
      </c>
      <c r="W200" s="383">
        <f t="shared" si="76"/>
        <v>15.854770050071865</v>
      </c>
      <c r="X200" s="383">
        <f t="shared" si="76"/>
        <v>44.044633240893475</v>
      </c>
      <c r="Y200" s="329" t="s">
        <v>637</v>
      </c>
      <c r="Z200" s="384">
        <f>Z199/Z$193*100</f>
        <v>28.139509492166383</v>
      </c>
      <c r="AA200" s="384">
        <f t="shared" ref="AA200:AQ200" si="83">AA199/AA$193*100</f>
        <v>28.498161390580368</v>
      </c>
      <c r="AB200" s="384">
        <f t="shared" si="83"/>
        <v>28.958629136951902</v>
      </c>
      <c r="AC200" s="384">
        <f t="shared" si="83"/>
        <v>28.543527630475847</v>
      </c>
      <c r="AD200" s="384">
        <f t="shared" si="83"/>
        <v>27.345844821551669</v>
      </c>
      <c r="AE200" s="384">
        <f t="shared" si="83"/>
        <v>26.546659346365825</v>
      </c>
      <c r="AF200" s="384">
        <f t="shared" si="83"/>
        <v>15.779316795565833</v>
      </c>
      <c r="AG200" s="384">
        <f t="shared" si="83"/>
        <v>23.665821065635122</v>
      </c>
      <c r="AH200" s="384">
        <f t="shared" si="83"/>
        <v>26.140223809346409</v>
      </c>
      <c r="AI200" s="384">
        <f t="shared" si="83"/>
        <v>33.126345467699927</v>
      </c>
      <c r="AJ200" s="384">
        <f t="shared" si="83"/>
        <v>32.749187711539932</v>
      </c>
      <c r="AK200" s="384">
        <f t="shared" si="83"/>
        <v>32.269360021717553</v>
      </c>
      <c r="AL200" s="384">
        <f t="shared" si="83"/>
        <v>32.701695424871957</v>
      </c>
      <c r="AM200" s="384">
        <f t="shared" si="83"/>
        <v>28.315476367521004</v>
      </c>
      <c r="AN200" s="384">
        <f t="shared" si="83"/>
        <v>33.971823698751358</v>
      </c>
      <c r="AO200" s="384">
        <f t="shared" si="83"/>
        <v>34.838638064801778</v>
      </c>
      <c r="AP200" s="384">
        <f t="shared" si="83"/>
        <v>48.27193306148088</v>
      </c>
      <c r="AQ200" s="384">
        <f t="shared" si="83"/>
        <v>38.098754878764389</v>
      </c>
      <c r="AR200" s="561">
        <f>IF((100-P163-AR176-AR178)&gt;60,(100-60-AR176-AR178),P163)</f>
        <v>35</v>
      </c>
      <c r="AS200" s="375"/>
      <c r="AT200" s="387"/>
      <c r="AU200" s="328">
        <f>AC201+AG201+AL201+AQ201-AR201</f>
        <v>0</v>
      </c>
    </row>
    <row r="201" spans="2:54" ht="30.75" customHeight="1">
      <c r="B201" s="206">
        <f t="shared" si="66"/>
        <v>9</v>
      </c>
      <c r="C201" s="373"/>
      <c r="D201" s="562">
        <f t="shared" si="77"/>
        <v>3379.0701539011943</v>
      </c>
      <c r="E201" s="376">
        <f t="shared" si="67"/>
        <v>1336.4078666706978</v>
      </c>
      <c r="F201" s="562">
        <f t="shared" si="81"/>
        <v>1899.0317230673895</v>
      </c>
      <c r="G201" s="562">
        <f t="shared" si="78"/>
        <v>3235.4395897380873</v>
      </c>
      <c r="H201" s="562">
        <f t="shared" si="68"/>
        <v>2004.6118000060455</v>
      </c>
      <c r="I201" s="376">
        <f t="shared" si="69"/>
        <v>434.34190867266898</v>
      </c>
      <c r="J201" s="376">
        <f t="shared" si="69"/>
        <v>38.050487224450507</v>
      </c>
      <c r="K201" s="563">
        <f t="shared" si="70"/>
        <v>-1284.0004824057814</v>
      </c>
      <c r="L201" s="376">
        <f t="shared" si="71"/>
        <v>3775.3615753494128</v>
      </c>
      <c r="M201" s="564">
        <f t="shared" si="72"/>
        <v>3273.4900769625378</v>
      </c>
      <c r="N201" s="565">
        <f t="shared" si="79"/>
        <v>3288.612282411827</v>
      </c>
      <c r="O201" s="566">
        <f t="shared" si="73"/>
        <v>3775.3615753494128</v>
      </c>
      <c r="P201" s="567">
        <f t="shared" si="74"/>
        <v>0</v>
      </c>
      <c r="Q201" s="568"/>
      <c r="R201" s="385" t="s">
        <v>31</v>
      </c>
      <c r="S201" s="386">
        <f>S199-S200</f>
        <v>3368.9214899999988</v>
      </c>
      <c r="T201" s="386">
        <f>T199-T200</f>
        <v>1894.7759759999999</v>
      </c>
      <c r="U201" s="382">
        <f t="shared" si="75"/>
        <v>5263.6974659999987</v>
      </c>
      <c r="V201" s="383">
        <f t="shared" si="76"/>
        <v>8.4569589572464796</v>
      </c>
      <c r="W201" s="383">
        <f t="shared" si="76"/>
        <v>4.7564310150215592</v>
      </c>
      <c r="X201" s="383">
        <f t="shared" si="76"/>
        <v>13.213389972268038</v>
      </c>
      <c r="Y201" s="329" t="s">
        <v>40</v>
      </c>
      <c r="Z201" s="214">
        <f>IF(Z$198&lt;0,0,$AT201*Z$198)/1000</f>
        <v>23.038168285874217</v>
      </c>
      <c r="AA201" s="214">
        <f>IF(AA$198&lt;0,0,($AT201*(SUM(Z$198:AA$198))/1000)-Z201)</f>
        <v>25.360273629607757</v>
      </c>
      <c r="AB201" s="214">
        <f>IF(AB$198&lt;0,0,($AT201*(SUM(Z$198:AB$198))/1000)-SUM(Z201:AA201))</f>
        <v>25.892153042228792</v>
      </c>
      <c r="AC201" s="192">
        <f>SUM(Z201:AB201)</f>
        <v>74.290594957710766</v>
      </c>
      <c r="AD201" s="583">
        <f>IF(AD$198&lt;0,0,$AT201*(SUM(Z$198:AB$198)+AD$198)/1000)-SUM(Z201:AB201)</f>
        <v>25.154294502937972</v>
      </c>
      <c r="AE201" s="583">
        <f>IF(AE$198&lt;0,0,($AT201*(SUM(Z$198:AB$198)+SUM(AD$198:AE$198))/1000)-SUM(Z201:AB201)-AD201)</f>
        <v>22.921415669924556</v>
      </c>
      <c r="AF201" s="583">
        <f>IF(AF$198&lt;0,0,($AT201*(SUM(Z$198:AB$198)+SUM(AD$198:AF$198))/1000)-SUM(Z201:AB201)-SUM(AD201:AE201))</f>
        <v>11.74975109309014</v>
      </c>
      <c r="AG201" s="325">
        <f>SUM(AD201:AF201)</f>
        <v>59.825461265952669</v>
      </c>
      <c r="AH201" s="192">
        <f>AC201+AG201</f>
        <v>134.11605622366343</v>
      </c>
      <c r="AI201" s="583">
        <f>IF(AI$198&lt;0,0,$AT201*(SUM(Z$198:AB$198)+SUM(AD$198:AF$198)+AI$198)/1000)-SUM(Z201:AB201)-SUM(AD201:AF201)</f>
        <v>26.394290284609781</v>
      </c>
      <c r="AJ201" s="583">
        <f>IF(AJ$198&lt;0,0,($AT201*(SUM(Z$198:AB$198)+SUM(AD$198:AF$198)+SUM(AI$198:AJ$198))/1000)-SUM(Z201:AB201)-SUM(AD201:AF201)-AI201)</f>
        <v>28.476242201412504</v>
      </c>
      <c r="AK201" s="583">
        <f>IF(AK$198&lt;0,0,($AT201*(SUM(Z$198:AB$198)+SUM(AD$198:AF$198)+SUM(AI$198:AK$198))/1000)-SUM(Z201:AB201)-SUM(AD201:AF201)-SUM(AI201:AJ201))</f>
        <v>28.336706718622196</v>
      </c>
      <c r="AL201" s="325">
        <f>SUM(AI201:AK201)</f>
        <v>83.20723920464448</v>
      </c>
      <c r="AM201" s="192">
        <f>AH201+AL201</f>
        <v>217.32329542830792</v>
      </c>
      <c r="AN201" s="214">
        <f>IF(AN$198&lt;0,0,($AT201*(SUM(Z$198:AB$198)+SUM(AD$198:AF$198)+SUM(AI$198:AK$198)+AN$198))/1000)-SUM(Z201:AB201)-SUM(AD201:AF201)-SUM(AI201:AK201)</f>
        <v>30.141803734854676</v>
      </c>
      <c r="AO201" s="214">
        <f>IF(AO$198&lt;0,0,($AT201*(SUM(Z$198:AB$198)+SUM(AD$198:AF$198)+SUM(AI$198:AK$198)+SUM(AN$198,AO$198))/1000)-SUM(Z201:AB201)-SUM(AD201:AF201)-SUM(AI201:AK201)-AN201)</f>
        <v>28.753097101982718</v>
      </c>
      <c r="AP201" s="214">
        <f>IF(AP$198&lt;0,0,($AT201*(SUM(Z$198:AB$198)+SUM(AD$198:AF$198)+SUM(AI$198:AK$198)+SUM(AN$198:AP$198))/1000)-SUM(Z201:AB201)-SUM(AD201:AF201)-SUM(AI201:AK201)-SUM(AN201:AO201))</f>
        <v>30.141803734854705</v>
      </c>
      <c r="AQ201" s="192">
        <f>SUM(AN201:AP201)</f>
        <v>89.036704571692098</v>
      </c>
      <c r="AR201" s="584">
        <f>U184*12/1000</f>
        <v>306.36</v>
      </c>
      <c r="AS201" s="326">
        <f>AQ201+AM201-AR201</f>
        <v>0</v>
      </c>
      <c r="AT201" s="327">
        <f>AR201/(AR$153-AR$189)*1000</f>
        <v>972.31624951144192</v>
      </c>
      <c r="AU201" s="328">
        <f>AC202+AG202+AL202+AQ202-AR202</f>
        <v>13.291028619280908</v>
      </c>
    </row>
    <row r="202" spans="2:54" ht="17.399999999999999">
      <c r="B202" s="206">
        <f t="shared" si="66"/>
        <v>10</v>
      </c>
      <c r="C202" s="373"/>
      <c r="D202" s="562">
        <f t="shared" si="77"/>
        <v>3465.833673619446</v>
      </c>
      <c r="E202" s="376">
        <f t="shared" si="67"/>
        <v>1386.3334694477785</v>
      </c>
      <c r="F202" s="562">
        <f t="shared" si="81"/>
        <v>2004.6118000060455</v>
      </c>
      <c r="G202" s="562">
        <f t="shared" si="78"/>
        <v>3390.945269453824</v>
      </c>
      <c r="H202" s="562">
        <f t="shared" si="68"/>
        <v>2079.500204171668</v>
      </c>
      <c r="I202" s="376">
        <f t="shared" si="69"/>
        <v>434.34190867266898</v>
      </c>
      <c r="J202" s="376">
        <f t="shared" si="69"/>
        <v>0</v>
      </c>
      <c r="K202" s="563">
        <f t="shared" si="70"/>
        <v>-849.65857373311246</v>
      </c>
      <c r="L202" s="376">
        <f t="shared" si="71"/>
        <v>3900.175582292115</v>
      </c>
      <c r="M202" s="564">
        <f t="shared" si="72"/>
        <v>3390.945269453824</v>
      </c>
      <c r="N202" s="565">
        <f t="shared" si="79"/>
        <v>2929.1587779047804</v>
      </c>
      <c r="O202" s="566">
        <f t="shared" si="73"/>
        <v>3900.175582292115</v>
      </c>
      <c r="P202" s="567">
        <f t="shared" si="74"/>
        <v>0</v>
      </c>
      <c r="Q202" s="568"/>
      <c r="R202" s="381" t="s">
        <v>41</v>
      </c>
      <c r="S202" s="383">
        <f>AR164</f>
        <v>3660.8660766895182</v>
      </c>
      <c r="T202" s="383">
        <f>AR192</f>
        <v>1551.2368273825091</v>
      </c>
      <c r="U202" s="382">
        <f t="shared" si="75"/>
        <v>5212.1029040720277</v>
      </c>
      <c r="V202" s="383">
        <f t="shared" si="76"/>
        <v>9.1898235831370503</v>
      </c>
      <c r="W202" s="383">
        <f t="shared" si="76"/>
        <v>3.8940492442710877</v>
      </c>
      <c r="X202" s="383">
        <f t="shared" si="76"/>
        <v>13.083872827408138</v>
      </c>
      <c r="Y202" s="329" t="s">
        <v>42</v>
      </c>
      <c r="Z202" s="384">
        <f t="shared" ref="Z202:AQ202" si="84">Z201/Z$193*100</f>
        <v>4.0471818728048889</v>
      </c>
      <c r="AA202" s="384">
        <f t="shared" si="84"/>
        <v>4.0987651977492074</v>
      </c>
      <c r="AB202" s="384">
        <f t="shared" si="84"/>
        <v>4.1649922482471915</v>
      </c>
      <c r="AC202" s="384">
        <f t="shared" si="84"/>
        <v>4.105290024480583</v>
      </c>
      <c r="AD202" s="384">
        <f t="shared" si="84"/>
        <v>3.9330325743286072</v>
      </c>
      <c r="AE202" s="384">
        <f t="shared" si="84"/>
        <v>3.8180892428152555</v>
      </c>
      <c r="AF202" s="384">
        <f t="shared" si="84"/>
        <v>2.2694697261172179</v>
      </c>
      <c r="AG202" s="384">
        <f t="shared" si="84"/>
        <v>3.4037509448608625</v>
      </c>
      <c r="AH202" s="384">
        <f t="shared" si="84"/>
        <v>3.7596334073165369</v>
      </c>
      <c r="AI202" s="384">
        <f t="shared" si="84"/>
        <v>4.7644165555362727</v>
      </c>
      <c r="AJ202" s="384">
        <f t="shared" si="84"/>
        <v>4.710171614474187</v>
      </c>
      <c r="AK202" s="384">
        <f t="shared" si="84"/>
        <v>4.6411601084683891</v>
      </c>
      <c r="AL202" s="384">
        <f t="shared" si="84"/>
        <v>4.7033410077873814</v>
      </c>
      <c r="AM202" s="384">
        <f t="shared" si="84"/>
        <v>4.072490414460443</v>
      </c>
      <c r="AN202" s="384">
        <f t="shared" si="84"/>
        <v>4.8860179704974938</v>
      </c>
      <c r="AO202" s="384">
        <f t="shared" si="84"/>
        <v>5.0106880679042467</v>
      </c>
      <c r="AP202" s="384">
        <f t="shared" si="84"/>
        <v>6.9427397981497538</v>
      </c>
      <c r="AQ202" s="384">
        <f t="shared" si="84"/>
        <v>5.4795763289582906</v>
      </c>
      <c r="AR202" s="561">
        <f>AR201/AR193*100</f>
        <v>4.4009296868062089</v>
      </c>
      <c r="AS202" s="375"/>
      <c r="AT202" s="387"/>
      <c r="AU202" s="328">
        <f>AC203+AG203+AL203+AQ203-AR203</f>
        <v>0</v>
      </c>
    </row>
    <row r="203" spans="2:54" ht="26.25" customHeight="1">
      <c r="B203" s="206">
        <f t="shared" si="66"/>
        <v>11</v>
      </c>
      <c r="C203" s="373"/>
      <c r="D203" s="562">
        <f t="shared" si="77"/>
        <v>3318.6056515895116</v>
      </c>
      <c r="E203" s="376">
        <f t="shared" si="67"/>
        <v>1319.8321631909148</v>
      </c>
      <c r="F203" s="562">
        <f t="shared" si="81"/>
        <v>2079.500204171668</v>
      </c>
      <c r="G203" s="562">
        <f t="shared" si="78"/>
        <v>3399.3323673625828</v>
      </c>
      <c r="H203" s="562">
        <f t="shared" si="68"/>
        <v>1979.7482447863717</v>
      </c>
      <c r="I203" s="376">
        <f t="shared" si="69"/>
        <v>434.34190867266898</v>
      </c>
      <c r="J203" s="376">
        <f t="shared" si="69"/>
        <v>19.025243612225253</v>
      </c>
      <c r="K203" s="563">
        <f t="shared" si="70"/>
        <v>-434.34190867266875</v>
      </c>
      <c r="L203" s="376">
        <f t="shared" si="71"/>
        <v>3733.9223166499555</v>
      </c>
      <c r="M203" s="564">
        <f t="shared" si="72"/>
        <v>3418.3576109748078</v>
      </c>
      <c r="N203" s="565">
        <f t="shared" si="79"/>
        <v>2414.0901534590403</v>
      </c>
      <c r="O203" s="566">
        <f t="shared" si="73"/>
        <v>3733.9223166499555</v>
      </c>
      <c r="P203" s="567">
        <f t="shared" si="74"/>
        <v>0</v>
      </c>
      <c r="Q203" s="568"/>
      <c r="R203" s="381" t="s">
        <v>43</v>
      </c>
      <c r="S203" s="383">
        <f>AR165</f>
        <v>4853.3715516328002</v>
      </c>
      <c r="T203" s="383">
        <f>AR193</f>
        <v>6961.2564117634884</v>
      </c>
      <c r="U203" s="382">
        <f t="shared" si="75"/>
        <v>11814.627963396288</v>
      </c>
      <c r="V203" s="383">
        <f t="shared" si="76"/>
        <v>12.183354268794869</v>
      </c>
      <c r="W203" s="383">
        <f t="shared" si="76"/>
        <v>17.474749690635484</v>
      </c>
      <c r="X203" s="383">
        <f t="shared" si="76"/>
        <v>29.658103959430353</v>
      </c>
      <c r="Y203" s="329" t="s">
        <v>44</v>
      </c>
      <c r="Z203" s="214">
        <f>IF(Z$198&lt;0,0,$AT203*Z$198)/1000</f>
        <v>0</v>
      </c>
      <c r="AA203" s="214">
        <f>IF(AA$198&lt;0,0,($AT203*(SUM(Z$198:AA$198))/1000)-Z203)</f>
        <v>0</v>
      </c>
      <c r="AB203" s="214">
        <f>IF(AB$198&lt;0,0,($AT203*(SUM(Z$198:AB$198))/1000)-SUM(Z203:AA203))</f>
        <v>0</v>
      </c>
      <c r="AC203" s="192">
        <f>SUM(Z203:AB203)</f>
        <v>0</v>
      </c>
      <c r="AD203" s="583">
        <f>IF(AD$198&lt;0,0,$AT203*(SUM(Z$198:AB$198)+AD$198)/1000)-SUM(Z203:AB203)</f>
        <v>0</v>
      </c>
      <c r="AE203" s="583">
        <f>IF(AE$198&lt;0,0,($AT203*(SUM(Z$198:AB$198)+SUM(AD$198:AE$198))/1000)-SUM(Z203:AB203)-AD203)</f>
        <v>0</v>
      </c>
      <c r="AF203" s="583">
        <f>IF(AF$198&lt;0,0,($AT203*(SUM(Z$198:AB$198)+SUM(AD$198:AF$198))/1000)-SUM(Z203:AB203)-SUM(AD203:AE203))</f>
        <v>0</v>
      </c>
      <c r="AG203" s="325">
        <f>SUM(AD203:AF203)</f>
        <v>0</v>
      </c>
      <c r="AH203" s="192">
        <f>AC203+AG203</f>
        <v>0</v>
      </c>
      <c r="AI203" s="583">
        <f>IF(AI$198&lt;0,0,$AT203*(SUM(Z$198:AB$198)+SUM(AD$198:AF$198)+AI$198)/1000)-SUM(Z203:AB203)-SUM(AD203:AF203)</f>
        <v>0</v>
      </c>
      <c r="AJ203" s="583">
        <f>IF(AJ$198&lt;0,0,($AT203*(SUM(Z$198:AB$198)+SUM(AD$198:AF$198)+SUM(AI$198:AJ$198))/1000)-SUM(Z203:AB203)-SUM(AD203:AF203)-AI203)</f>
        <v>0</v>
      </c>
      <c r="AK203" s="583">
        <f>IF(AK$198&lt;0,0,($AT203*(SUM(Z$198:AB$198)+SUM(AD$198:AF$198)+SUM(AI$198:AK$198))/1000)-SUM(Z203:AB203)-SUM(AD203:AF203)-SUM(AI203:AJ203))</f>
        <v>0</v>
      </c>
      <c r="AL203" s="325">
        <f>SUM(AI203:AK203)</f>
        <v>0</v>
      </c>
      <c r="AM203" s="192">
        <f>AH203+AL203</f>
        <v>0</v>
      </c>
      <c r="AN203" s="214">
        <f>IF(AN$198&lt;0,0,($AT203*(SUM(Z$198:AB$198)+SUM(AD$198:AF$198)+SUM(AI$198:AK$198)+AN$198))/1000)-SUM(Z203:AB203)-SUM(AD203:AF203)-SUM(AI203:AK203)</f>
        <v>0</v>
      </c>
      <c r="AO203" s="214">
        <f>IF(AO$198&lt;0,0,($AT203*(SUM(Z$198:AB$198)+SUM(AD$198:AF$198)+SUM(AI$198:AK$198)+SUM(AN$198,AO$198))/1000)-SUM(Z203:AB203)-SUM(AD203:AF203)-SUM(AI203:AK203)-AN203)</f>
        <v>0</v>
      </c>
      <c r="AP203" s="214">
        <f>IF(AP$198&lt;0,0,($AT203*(SUM(Z$198:AB$198)+SUM(AD$198:AF$198)+SUM(AI$198:AK$198)+SUM(AN$198:AP$198))/1000)-SUM(Z203:AB203)-SUM(AD203:AF203)-SUM(AI203:AK203)-SUM(AN203:AO203))</f>
        <v>0</v>
      </c>
      <c r="AQ203" s="192">
        <f>SUM(AN203:AP203)</f>
        <v>0</v>
      </c>
      <c r="AR203" s="578">
        <f>U185*12/1000</f>
        <v>0</v>
      </c>
      <c r="AS203" s="326">
        <f>AQ203+AM203-AR203</f>
        <v>0</v>
      </c>
      <c r="AT203" s="327">
        <f>AR203/(AR$153-AR$189)*1000</f>
        <v>0</v>
      </c>
      <c r="AU203" s="328"/>
    </row>
    <row r="204" spans="2:54" s="390" customFormat="1" ht="39" customHeight="1">
      <c r="B204" s="206">
        <f t="shared" si="66"/>
        <v>12</v>
      </c>
      <c r="C204" s="373"/>
      <c r="D204" s="562">
        <f t="shared" si="77"/>
        <v>3173.5941777619382</v>
      </c>
      <c r="E204" s="376">
        <f t="shared" si="67"/>
        <v>1468.4102135856829</v>
      </c>
      <c r="F204" s="562">
        <f t="shared" si="81"/>
        <v>1979.7482447863717</v>
      </c>
      <c r="G204" s="562">
        <f t="shared" si="78"/>
        <v>3448.1584583720546</v>
      </c>
      <c r="H204" s="585">
        <f t="shared" si="68"/>
        <v>1749.9999999999945</v>
      </c>
      <c r="I204" s="376">
        <f t="shared" si="69"/>
        <v>434.34190867266898</v>
      </c>
      <c r="J204" s="376">
        <f t="shared" si="69"/>
        <v>0</v>
      </c>
      <c r="K204" s="563">
        <f t="shared" si="70"/>
        <v>2.2737367544323206E-13</v>
      </c>
      <c r="L204" s="376">
        <f t="shared" si="71"/>
        <v>3607.9360864346072</v>
      </c>
      <c r="M204" s="376">
        <f t="shared" si="71"/>
        <v>3403.3424225483159</v>
      </c>
      <c r="N204" s="565">
        <f t="shared" si="79"/>
        <v>1749.9999999999943</v>
      </c>
      <c r="O204" s="566">
        <f t="shared" si="73"/>
        <v>3607.9360864346072</v>
      </c>
      <c r="P204" s="567">
        <f t="shared" si="74"/>
        <v>-4.5474735088646412E-13</v>
      </c>
      <c r="Q204" s="568"/>
      <c r="R204" s="385" t="s">
        <v>45</v>
      </c>
      <c r="S204" s="389">
        <f>S207+S210+S216+S218+S213</f>
        <v>3789.3631730056095</v>
      </c>
      <c r="T204" s="389">
        <f>T207+T210+T216+T218+T213</f>
        <v>5435.1348137999539</v>
      </c>
      <c r="U204" s="382">
        <f t="shared" si="75"/>
        <v>9224.4979868055634</v>
      </c>
      <c r="V204" s="383">
        <f t="shared" si="76"/>
        <v>9.5123881406359931</v>
      </c>
      <c r="W204" s="383">
        <f t="shared" si="76"/>
        <v>13.643746873842321</v>
      </c>
      <c r="X204" s="383">
        <f t="shared" si="76"/>
        <v>23.156135014478316</v>
      </c>
      <c r="Y204" s="329" t="s">
        <v>650</v>
      </c>
      <c r="Z204" s="384">
        <f t="shared" ref="Z204:AQ204" si="85">Z203/Z$193*100</f>
        <v>0</v>
      </c>
      <c r="AA204" s="384">
        <f t="shared" si="85"/>
        <v>0</v>
      </c>
      <c r="AB204" s="384">
        <f t="shared" si="85"/>
        <v>0</v>
      </c>
      <c r="AC204" s="384">
        <f t="shared" si="85"/>
        <v>0</v>
      </c>
      <c r="AD204" s="384">
        <f t="shared" si="85"/>
        <v>0</v>
      </c>
      <c r="AE204" s="384">
        <f t="shared" si="85"/>
        <v>0</v>
      </c>
      <c r="AF204" s="384">
        <f t="shared" si="85"/>
        <v>0</v>
      </c>
      <c r="AG204" s="384">
        <f t="shared" si="85"/>
        <v>0</v>
      </c>
      <c r="AH204" s="384">
        <f t="shared" si="85"/>
        <v>0</v>
      </c>
      <c r="AI204" s="384">
        <f t="shared" si="85"/>
        <v>0</v>
      </c>
      <c r="AJ204" s="384">
        <f t="shared" si="85"/>
        <v>0</v>
      </c>
      <c r="AK204" s="384">
        <f t="shared" si="85"/>
        <v>0</v>
      </c>
      <c r="AL204" s="384">
        <f t="shared" si="85"/>
        <v>0</v>
      </c>
      <c r="AM204" s="384">
        <f t="shared" si="85"/>
        <v>0</v>
      </c>
      <c r="AN204" s="384">
        <f t="shared" si="85"/>
        <v>0</v>
      </c>
      <c r="AO204" s="384">
        <f t="shared" si="85"/>
        <v>0</v>
      </c>
      <c r="AP204" s="384">
        <f t="shared" si="85"/>
        <v>0</v>
      </c>
      <c r="AQ204" s="384">
        <f t="shared" si="85"/>
        <v>0</v>
      </c>
      <c r="AR204" s="561">
        <f>AR203/AR193*100</f>
        <v>0</v>
      </c>
      <c r="AS204" s="375"/>
      <c r="AT204" s="387"/>
      <c r="AU204" s="328">
        <f>AC205+AG205+AL205+AQ205-AR205</f>
        <v>0</v>
      </c>
    </row>
    <row r="205" spans="2:54" s="390" customFormat="1" ht="36.75" customHeight="1">
      <c r="B205" s="153" t="s">
        <v>46</v>
      </c>
      <c r="C205" s="391">
        <f>H204</f>
        <v>1749.9999999999945</v>
      </c>
      <c r="D205" s="392"/>
      <c r="E205" s="586"/>
      <c r="F205" s="393"/>
      <c r="G205" s="394"/>
      <c r="H205" s="587"/>
      <c r="I205" s="588"/>
      <c r="J205" s="586"/>
      <c r="K205" s="395"/>
      <c r="L205" s="589"/>
      <c r="M205" s="590"/>
      <c r="N205" s="414"/>
      <c r="O205" s="566">
        <f t="shared" si="73"/>
        <v>0</v>
      </c>
      <c r="P205" s="396"/>
      <c r="Q205" s="568"/>
      <c r="R205" s="385" t="s">
        <v>31</v>
      </c>
      <c r="S205" s="389">
        <f>S208+S211+S217+S214</f>
        <v>1064.008378627191</v>
      </c>
      <c r="T205" s="389">
        <f>T208+T211+T217+T214</f>
        <v>1526.121597963534</v>
      </c>
      <c r="U205" s="382">
        <f t="shared" si="75"/>
        <v>2590.1299765907252</v>
      </c>
      <c r="V205" s="383">
        <f t="shared" si="76"/>
        <v>2.6709661281588755</v>
      </c>
      <c r="W205" s="383">
        <f t="shared" si="76"/>
        <v>3.8310028167931645</v>
      </c>
      <c r="X205" s="383">
        <f t="shared" si="76"/>
        <v>6.5019689449520399</v>
      </c>
      <c r="Y205" s="329" t="s">
        <v>47</v>
      </c>
      <c r="Z205" s="214">
        <f>IF(Z$198&lt;0,0,$AT205*Z$198)/1000</f>
        <v>26.174206276166625</v>
      </c>
      <c r="AA205" s="214">
        <f>IF(AA$198&lt;0,0,($AT205*(SUM(Z$198:AA$198))/1000)-Z205)</f>
        <v>28.812404917120954</v>
      </c>
      <c r="AB205" s="214">
        <f>IF(AB$198&lt;0,0,($AT205*(SUM(Z$198:AB$198))/1000)-SUM(Z205:AA205))</f>
        <v>29.416685660591561</v>
      </c>
      <c r="AC205" s="192">
        <f>SUM(Z205:AB205)</f>
        <v>84.403296853879141</v>
      </c>
      <c r="AD205" s="583">
        <f>IF(AD$198&lt;0,0,$AT205*(SUM(Z$198:AB$198)+AD$198)/1000)-SUM(Z205:AB205)</f>
        <v>28.578387173907188</v>
      </c>
      <c r="AE205" s="583">
        <f>IF(AE$198&lt;0,0,($AT205*(SUM(Z$198:AB$198)+SUM(AD$198:AE$198))/1000)-SUM(Z205:AB205)-AD205)</f>
        <v>26.04156087592348</v>
      </c>
      <c r="AF205" s="583">
        <f>IF(AF$198&lt;0,0,($AT205*(SUM(Z$198:AB$198)+SUM(AD$198:AF$198))/1000)-SUM(Z205:AB205)-SUM(AD205:AE205))</f>
        <v>13.349169299745228</v>
      </c>
      <c r="AG205" s="325">
        <f>SUM(AD205:AF205)</f>
        <v>67.969117349575896</v>
      </c>
      <c r="AH205" s="192">
        <f>AC205+AG205</f>
        <v>152.37241420345504</v>
      </c>
      <c r="AI205" s="583">
        <f>IF(AI$198&lt;0,0,$AT205*(SUM(Z$198:AB$198)+SUM(AD$198:AF$198)+AI$198)/1000)-SUM(Z205:AB205)-SUM(AD205:AF205)</f>
        <v>29.98717562307192</v>
      </c>
      <c r="AJ205" s="583">
        <f>IF(AJ$198&lt;0,0,($AT205*(SUM(Z$198:AB$198)+SUM(AD$198:AF$198)+SUM(AI$198:AJ$198))/1000)-SUM(Z205:AB205)-SUM(AD205:AF205)-AI205)</f>
        <v>32.352530292386888</v>
      </c>
      <c r="AK205" s="583">
        <f>IF(AK$198&lt;0,0,($AT205*(SUM(Z$198:AB$198)+SUM(AD$198:AF$198)+SUM(AI$198:AK$198))/1000)-SUM(Z205:AB205)-SUM(AD205:AF205)-SUM(AI205:AJ205))</f>
        <v>32.194000739859973</v>
      </c>
      <c r="AL205" s="325">
        <f>SUM(AI205:AK205)</f>
        <v>94.533706655318781</v>
      </c>
      <c r="AM205" s="192">
        <f>AH205+AL205</f>
        <v>246.90612085877382</v>
      </c>
      <c r="AN205" s="214">
        <f>IF(AN$198&lt;0,0,($AT205*(SUM(Z$198:AB$198)+SUM(AD$198:AF$198)+SUM(AI$198:AK$198)+AN$198))/1000)-SUM(Z205:AB205)-SUM(AD205:AF205)-SUM(AI205:AK205)</f>
        <v>34.2448140278388</v>
      </c>
      <c r="AO205" s="214">
        <f>IF(AO$198&lt;0,0,($AT205*(SUM(Z$198:AB$198)+SUM(AD$198:AF$198)+SUM(AI$198:AK$198)+SUM(AN$198,AO$198))/1000)-SUM(Z205:AB205)-SUM(AD205:AF205)-SUM(AI205:AK205)-AN205)</f>
        <v>32.667071673723001</v>
      </c>
      <c r="AP205" s="214">
        <f>IF(AP$198&lt;0,0,($AT205*(SUM(Z$198:AB$198)+SUM(AD$198:AF$198)+SUM(AI$198:AK$198)+SUM(AN$198:AP$198))/1000)-SUM(Z205:AB205)-SUM(AD205:AF205)-SUM(AI205:AK205)-SUM(AN205:AO205))</f>
        <v>34.244814027838771</v>
      </c>
      <c r="AQ205" s="192">
        <f>SUM(AN205:AP205)</f>
        <v>101.15669972940057</v>
      </c>
      <c r="AR205" s="578">
        <f>U187*12/1000</f>
        <v>348.06282058817442</v>
      </c>
      <c r="AS205" s="326">
        <f>AQ205+AM205-AR205</f>
        <v>0</v>
      </c>
      <c r="AT205" s="327">
        <f>AR205/(AR$153-AR$189)*1000</f>
        <v>1104.6714202528647</v>
      </c>
      <c r="AU205" s="328"/>
    </row>
    <row r="206" spans="2:54" s="147" customFormat="1" ht="28.2">
      <c r="B206" s="373" t="s">
        <v>48</v>
      </c>
      <c r="C206" s="591">
        <f t="shared" ref="C206:J206" si="86">SUM(C192:C205)</f>
        <v>3499.9999999999945</v>
      </c>
      <c r="D206" s="592">
        <f t="shared" si="86"/>
        <v>39836.086553468311</v>
      </c>
      <c r="E206" s="593">
        <f t="shared" si="86"/>
        <v>14048.566002239422</v>
      </c>
      <c r="F206" s="376">
        <f t="shared" si="86"/>
        <v>20620.233682980608</v>
      </c>
      <c r="G206" s="398">
        <f t="shared" si="86"/>
        <v>34668.79968522003</v>
      </c>
      <c r="H206" s="376">
        <f t="shared" si="86"/>
        <v>20620.233682980601</v>
      </c>
      <c r="I206" s="376">
        <f t="shared" si="86"/>
        <v>5212.1029040720277</v>
      </c>
      <c r="J206" s="398">
        <f t="shared" si="86"/>
        <v>5212.1029040720277</v>
      </c>
      <c r="K206" s="376">
        <f>I206-J206</f>
        <v>0</v>
      </c>
      <c r="L206" s="399">
        <f>SUM(L192:L205)</f>
        <v>39836.086553468311</v>
      </c>
      <c r="M206" s="593">
        <f>SUM(M192:M205)</f>
        <v>39836.086553468325</v>
      </c>
      <c r="N206" s="400">
        <f>H206-K206</f>
        <v>20620.233682980601</v>
      </c>
      <c r="O206" s="594">
        <f>SUM(O192:O205)</f>
        <v>39836.086553468311</v>
      </c>
      <c r="P206" s="399">
        <f>SUM(P192:P205)</f>
        <v>-4.5474735088646412E-13</v>
      </c>
      <c r="Q206" s="595"/>
      <c r="R206" s="381" t="s">
        <v>49</v>
      </c>
      <c r="S206" s="383">
        <f>AR168</f>
        <v>2912.02293097968</v>
      </c>
      <c r="T206" s="383">
        <f>AR196</f>
        <v>4176.753847058093</v>
      </c>
      <c r="U206" s="382">
        <f t="shared" si="75"/>
        <v>7088.7767780377726</v>
      </c>
      <c r="V206" s="383">
        <f t="shared" si="76"/>
        <v>7.3100125612769213</v>
      </c>
      <c r="W206" s="383">
        <f t="shared" si="76"/>
        <v>10.484849814381292</v>
      </c>
      <c r="X206" s="383">
        <f t="shared" si="76"/>
        <v>17.794862375658212</v>
      </c>
      <c r="Y206" s="329" t="s">
        <v>657</v>
      </c>
      <c r="Z206" s="384">
        <f t="shared" ref="Z206:AQ206" si="87">Z205/Z$193*100</f>
        <v>4.5980987664244672</v>
      </c>
      <c r="AA206" s="384">
        <f t="shared" si="87"/>
        <v>4.6567037983327966</v>
      </c>
      <c r="AB206" s="384">
        <f t="shared" si="87"/>
        <v>4.7319459121712981</v>
      </c>
      <c r="AC206" s="384">
        <f t="shared" si="87"/>
        <v>4.6641168078509185</v>
      </c>
      <c r="AD206" s="384">
        <f t="shared" si="87"/>
        <v>4.4684110565543289</v>
      </c>
      <c r="AE206" s="384">
        <f t="shared" si="87"/>
        <v>4.3378212270258665</v>
      </c>
      <c r="AF206" s="384">
        <f t="shared" si="87"/>
        <v>2.5783980745261528</v>
      </c>
      <c r="AG206" s="384">
        <f t="shared" si="87"/>
        <v>3.8670817157851416</v>
      </c>
      <c r="AH206" s="384">
        <f t="shared" si="87"/>
        <v>4.2714081738089922</v>
      </c>
      <c r="AI206" s="384">
        <f t="shared" si="87"/>
        <v>5.4129660033194504</v>
      </c>
      <c r="AJ206" s="384">
        <f t="shared" si="87"/>
        <v>5.3513370465734491</v>
      </c>
      <c r="AK206" s="384">
        <f t="shared" si="87"/>
        <v>5.2729314471694186</v>
      </c>
      <c r="AL206" s="384">
        <f t="shared" si="87"/>
        <v>5.3435766332370465</v>
      </c>
      <c r="AM206" s="384">
        <f t="shared" si="87"/>
        <v>4.626852397425921</v>
      </c>
      <c r="AN206" s="384">
        <f t="shared" si="87"/>
        <v>5.5511202384641143</v>
      </c>
      <c r="AO206" s="384">
        <f t="shared" si="87"/>
        <v>5.6927608761008743</v>
      </c>
      <c r="AP206" s="384">
        <f t="shared" si="87"/>
        <v>7.8878104085186491</v>
      </c>
      <c r="AQ206" s="384">
        <f t="shared" si="87"/>
        <v>6.2254758868175246</v>
      </c>
      <c r="AR206" s="535">
        <f>AR231</f>
        <v>5.0000000000000027</v>
      </c>
      <c r="AS206" s="375"/>
      <c r="AT206" s="387"/>
      <c r="AU206" s="328">
        <f>AC207+AG207+AL207+AQ207-AR207</f>
        <v>0</v>
      </c>
    </row>
    <row r="207" spans="2:54" ht="55.8">
      <c r="B207" s="323" t="s">
        <v>50</v>
      </c>
      <c r="C207" s="401"/>
      <c r="D207" s="392"/>
      <c r="E207" s="392"/>
      <c r="F207" s="392"/>
      <c r="G207" s="422"/>
      <c r="H207" s="392"/>
      <c r="I207" s="391"/>
      <c r="J207" s="596"/>
      <c r="K207" s="392"/>
      <c r="L207" s="402"/>
      <c r="M207" s="597"/>
      <c r="N207" s="414"/>
      <c r="O207" s="403">
        <f>F192</f>
        <v>1750</v>
      </c>
      <c r="P207" s="396"/>
      <c r="Q207" s="568"/>
      <c r="R207" s="385" t="s">
        <v>51</v>
      </c>
      <c r="S207" s="389">
        <f>S206/1.3</f>
        <v>2240.0176392151384</v>
      </c>
      <c r="T207" s="389">
        <f>T206/1.3</f>
        <v>3212.8875746600716</v>
      </c>
      <c r="U207" s="382">
        <f t="shared" si="75"/>
        <v>5452.9052138752104</v>
      </c>
      <c r="V207" s="383">
        <f t="shared" si="76"/>
        <v>5.6230865855976315</v>
      </c>
      <c r="W207" s="383">
        <f t="shared" si="76"/>
        <v>8.0652690879856088</v>
      </c>
      <c r="X207" s="383">
        <f t="shared" si="76"/>
        <v>13.688355673583242</v>
      </c>
      <c r="Y207" s="404" t="s">
        <v>52</v>
      </c>
      <c r="Z207" s="405">
        <f>Z185+Z193+Z192</f>
        <v>1200.2707691659216</v>
      </c>
      <c r="AA207" s="405">
        <f>AA185+AA193+AA192</f>
        <v>1339.1738359513968</v>
      </c>
      <c r="AB207" s="405">
        <f>AB185+AB193+AB192</f>
        <v>1420.9104595899887</v>
      </c>
      <c r="AC207" s="405">
        <f>SUM(Z207:AB207)</f>
        <v>3960.3550647073071</v>
      </c>
      <c r="AD207" s="405">
        <f>AD185+AD193+AD192</f>
        <v>1497.1780186568076</v>
      </c>
      <c r="AE207" s="405">
        <f>AE185+AE193+AE192</f>
        <v>1366.8517831669105</v>
      </c>
      <c r="AF207" s="405">
        <f>AF185+AF193+AF192</f>
        <v>1584.1310822051619</v>
      </c>
      <c r="AG207" s="388">
        <f>SUM(AD207:AF207)</f>
        <v>4448.16088402888</v>
      </c>
      <c r="AH207" s="405">
        <f>AC207+AG207</f>
        <v>8408.5159487361871</v>
      </c>
      <c r="AI207" s="405">
        <f>AI185+AI193+AI192</f>
        <v>1432.6034097901861</v>
      </c>
      <c r="AJ207" s="405">
        <f>AJ185+AJ193+AJ192</f>
        <v>1443.8564087893988</v>
      </c>
      <c r="AK207" s="405">
        <f>AK185+AK193+AK192</f>
        <v>1408.0493902202745</v>
      </c>
      <c r="AL207" s="388">
        <f>SUM(AI207:AK207)</f>
        <v>4284.5092087998592</v>
      </c>
      <c r="AM207" s="405">
        <f>AH207+AL207</f>
        <v>12693.025157536045</v>
      </c>
      <c r="AN207" s="405">
        <f>AN185+AN193+AN192</f>
        <v>1424.7238881170429</v>
      </c>
      <c r="AO207" s="405">
        <f>AO185+AO193+AO192</f>
        <v>1363.4668158658085</v>
      </c>
      <c r="AP207" s="405">
        <f>AP185+AP193+AP192</f>
        <v>1241.9732736270994</v>
      </c>
      <c r="AQ207" s="405">
        <f>SUM(AN207:AP207)</f>
        <v>4030.1639776099505</v>
      </c>
      <c r="AR207" s="598">
        <f>AM207+AQ207</f>
        <v>16723.189135145996</v>
      </c>
      <c r="AS207" s="326">
        <f>AQ207+AM207-AR207</f>
        <v>0</v>
      </c>
      <c r="AT207" s="327">
        <f>AR207/(AR$153-AR$161)*1000</f>
        <v>56880.205013496561</v>
      </c>
      <c r="AU207" s="406"/>
    </row>
    <row r="208" spans="2:54" ht="17.399999999999999">
      <c r="B208" s="407" t="s">
        <v>53</v>
      </c>
      <c r="C208" s="401"/>
      <c r="D208" s="392"/>
      <c r="E208" s="392"/>
      <c r="F208" s="392"/>
      <c r="G208" s="422"/>
      <c r="H208" s="392"/>
      <c r="I208" s="391"/>
      <c r="J208" s="596"/>
      <c r="K208" s="392"/>
      <c r="L208" s="402"/>
      <c r="M208" s="422"/>
      <c r="N208" s="414"/>
      <c r="O208" s="403">
        <f>C205</f>
        <v>1749.9999999999945</v>
      </c>
      <c r="P208" s="396"/>
      <c r="Q208" s="568"/>
      <c r="R208" s="385" t="s">
        <v>31</v>
      </c>
      <c r="S208" s="389">
        <f>S206-S207</f>
        <v>672.00529176454165</v>
      </c>
      <c r="T208" s="389">
        <f>T206-T207</f>
        <v>963.86627239802147</v>
      </c>
      <c r="U208" s="382">
        <f t="shared" si="75"/>
        <v>1635.8715641625631</v>
      </c>
      <c r="V208" s="383">
        <f t="shared" si="76"/>
        <v>1.6869259756792896</v>
      </c>
      <c r="W208" s="383">
        <f t="shared" si="76"/>
        <v>2.419580726395683</v>
      </c>
      <c r="X208" s="383">
        <f t="shared" si="76"/>
        <v>4.1065067020749728</v>
      </c>
      <c r="Y208" s="329" t="s">
        <v>54</v>
      </c>
      <c r="Z208" s="327">
        <f>Z207/$G$173*1000</f>
        <v>18357.53417091044</v>
      </c>
      <c r="AA208" s="327">
        <f>AA207/$G$173*1000</f>
        <v>20481.986303266021</v>
      </c>
      <c r="AB208" s="327">
        <f>AB207/$G$173*1000</f>
        <v>21732.106609455765</v>
      </c>
      <c r="AC208" s="327">
        <f>AC207/$G$173*1000/3</f>
        <v>20190.542361210744</v>
      </c>
      <c r="AD208" s="327">
        <f>AD207/$G$173*1000</f>
        <v>22898.580339940752</v>
      </c>
      <c r="AE208" s="327">
        <f>AE207/$G$173*1000</f>
        <v>20905.306503042724</v>
      </c>
      <c r="AF208" s="327">
        <f>AF207/$G$173*1000</f>
        <v>24228.483455438189</v>
      </c>
      <c r="AG208" s="327">
        <f>AG207/$G$173*1000/3</f>
        <v>22677.456766140549</v>
      </c>
      <c r="AH208" s="327">
        <f>AH207/$G$173*1000/6</f>
        <v>21433.99956367565</v>
      </c>
      <c r="AI208" s="327">
        <f>AI207/$G$173*1000</f>
        <v>21910.944367046111</v>
      </c>
      <c r="AJ208" s="327">
        <f>AJ207/$G$173*1000</f>
        <v>22083.05329359843</v>
      </c>
      <c r="AK208" s="327">
        <f>AK207/$G$173*1000</f>
        <v>21535.403060144934</v>
      </c>
      <c r="AL208" s="327">
        <f>AL207/$G$173*1000/3</f>
        <v>21843.133573596489</v>
      </c>
      <c r="AM208" s="327">
        <f>AM207/$G$173*1000/9</f>
        <v>21570.377566982595</v>
      </c>
      <c r="AN208" s="327">
        <f>AN207/$G$173*1000</f>
        <v>21790.431069479371</v>
      </c>
      <c r="AO208" s="327">
        <f>AO207/$G$173*1000</f>
        <v>20853.535140702061</v>
      </c>
      <c r="AP208" s="327">
        <f>AP207/$G$173*1000</f>
        <v>18995.35287842642</v>
      </c>
      <c r="AQ208" s="408">
        <f>AQ207/$G$173*1000/3</f>
        <v>20546.439696202619</v>
      </c>
      <c r="AR208" s="552">
        <f>AR207/$G$173/12*1000</f>
        <v>21314.393099287598</v>
      </c>
      <c r="AS208" s="409"/>
      <c r="AT208" s="410"/>
      <c r="AU208" s="328"/>
    </row>
    <row r="209" spans="2:47" ht="121.8">
      <c r="B209" s="206" t="s">
        <v>21</v>
      </c>
      <c r="C209" s="373" t="s">
        <v>25</v>
      </c>
      <c r="D209" s="599" t="s">
        <v>55</v>
      </c>
      <c r="E209" s="559" t="s">
        <v>56</v>
      </c>
      <c r="F209" s="599" t="s">
        <v>57</v>
      </c>
      <c r="G209" s="600" t="s">
        <v>58</v>
      </c>
      <c r="H209" s="600" t="s">
        <v>59</v>
      </c>
      <c r="I209" s="559" t="s">
        <v>60</v>
      </c>
      <c r="J209" s="559" t="s">
        <v>61</v>
      </c>
      <c r="K209" s="600" t="s">
        <v>62</v>
      </c>
      <c r="L209" s="601" t="s">
        <v>63</v>
      </c>
      <c r="M209" s="602" t="s">
        <v>64</v>
      </c>
      <c r="N209" s="603" t="s">
        <v>65</v>
      </c>
      <c r="O209" s="604" t="s">
        <v>66</v>
      </c>
      <c r="P209" s="605" t="s">
        <v>548</v>
      </c>
      <c r="R209" s="411" t="s">
        <v>67</v>
      </c>
      <c r="S209" s="383">
        <f>AR173</f>
        <v>459.55200000000002</v>
      </c>
      <c r="T209" s="383">
        <f>AR201</f>
        <v>306.36</v>
      </c>
      <c r="U209" s="382">
        <f t="shared" si="75"/>
        <v>765.91200000000003</v>
      </c>
      <c r="V209" s="383">
        <f t="shared" si="76"/>
        <v>1.1536072936863055</v>
      </c>
      <c r="W209" s="383">
        <f t="shared" si="76"/>
        <v>0.76905144683025328</v>
      </c>
      <c r="X209" s="606">
        <f t="shared" si="76"/>
        <v>1.9226587405165589</v>
      </c>
      <c r="Y209" s="607" t="s">
        <v>68</v>
      </c>
      <c r="Z209" s="608">
        <f>Z212+Z217+Z220</f>
        <v>2988.321006498727</v>
      </c>
      <c r="AA209" s="608">
        <f t="shared" ref="AA209:AF209" si="88">AA212+AA217+AA220</f>
        <v>3393.6364876168791</v>
      </c>
      <c r="AB209" s="608">
        <f t="shared" si="88"/>
        <v>3656.2230283601739</v>
      </c>
      <c r="AC209" s="192">
        <f>SUM(Z209:AB209)</f>
        <v>10038.180522475781</v>
      </c>
      <c r="AD209" s="608">
        <f t="shared" si="88"/>
        <v>3742.8194477535299</v>
      </c>
      <c r="AE209" s="608">
        <f t="shared" si="88"/>
        <v>3465.0729022126689</v>
      </c>
      <c r="AF209" s="608">
        <f t="shared" si="88"/>
        <v>1699.1177653704883</v>
      </c>
      <c r="AG209" s="325">
        <f>SUM(AD209:AF209)</f>
        <v>8907.0101153366868</v>
      </c>
      <c r="AH209" s="192">
        <f>AC209+AG209</f>
        <v>18945.19063781247</v>
      </c>
      <c r="AI209" s="608">
        <f>AI212+AI217+AI220</f>
        <v>2167.7263574177659</v>
      </c>
      <c r="AJ209" s="608">
        <f>AJ212+AJ217+AJ220</f>
        <v>3705.7739975119894</v>
      </c>
      <c r="AK209" s="608">
        <f>AK212+AK217+AK220</f>
        <v>3775.3615753494132</v>
      </c>
      <c r="AL209" s="325">
        <f>SUM(AI209:AK209)</f>
        <v>9648.8619302791685</v>
      </c>
      <c r="AM209" s="192">
        <f>AH209+AL209</f>
        <v>28594.05256809164</v>
      </c>
      <c r="AN209" s="608">
        <f>AN212+AN217+AN220</f>
        <v>3900.1755822921155</v>
      </c>
      <c r="AO209" s="608">
        <f>AO212+AO217+AO220</f>
        <v>3733.9223166499555</v>
      </c>
      <c r="AP209" s="608">
        <f>AP212+AP217+AP220</f>
        <v>3607.9360864346068</v>
      </c>
      <c r="AQ209" s="608">
        <f>AQ212+AQ217+AQ220</f>
        <v>11242.033985376678</v>
      </c>
      <c r="AR209" s="608">
        <f>AR154+AR182</f>
        <v>39836.086553468311</v>
      </c>
      <c r="AS209" s="609">
        <f>AQ209+AM209-AR209</f>
        <v>0</v>
      </c>
      <c r="AT209" s="610">
        <f>AR209/(AR$153-AR216)*1000</f>
        <v>130979.67984236371</v>
      </c>
      <c r="AU209" s="611">
        <f>AC209+AG209+AL209+AQ209-AR209</f>
        <v>0</v>
      </c>
    </row>
    <row r="210" spans="2:47" ht="40.200000000000003">
      <c r="B210" s="206" t="s">
        <v>69</v>
      </c>
      <c r="C210" s="413">
        <v>960</v>
      </c>
      <c r="D210" s="612"/>
      <c r="E210" s="612"/>
      <c r="F210" s="562">
        <f>C210</f>
        <v>960</v>
      </c>
      <c r="G210" s="562">
        <f>E210+F210</f>
        <v>960</v>
      </c>
      <c r="H210" s="562">
        <f>C210+D210-M210</f>
        <v>0</v>
      </c>
      <c r="I210" s="613"/>
      <c r="J210" s="614"/>
      <c r="K210" s="563">
        <f>I210-J210</f>
        <v>0</v>
      </c>
      <c r="L210" s="615"/>
      <c r="M210" s="564">
        <f>G210+J210</f>
        <v>960</v>
      </c>
      <c r="N210" s="565">
        <f>H210-K210</f>
        <v>0</v>
      </c>
      <c r="O210" s="566">
        <f>-M210+F210-H210</f>
        <v>0</v>
      </c>
      <c r="P210" s="567">
        <f>O210-M210+F210-H210-K210</f>
        <v>0</v>
      </c>
      <c r="R210" s="415" t="s">
        <v>70</v>
      </c>
      <c r="S210" s="389">
        <f>S209/1.3</f>
        <v>353.50153846153847</v>
      </c>
      <c r="T210" s="389">
        <f>T209/1.3</f>
        <v>235.66153846153847</v>
      </c>
      <c r="U210" s="382">
        <f t="shared" si="75"/>
        <v>589.16307692307691</v>
      </c>
      <c r="V210" s="383">
        <f t="shared" si="76"/>
        <v>0.88739022591254269</v>
      </c>
      <c r="W210" s="383">
        <f t="shared" si="76"/>
        <v>0.59157803602327175</v>
      </c>
      <c r="X210" s="383">
        <f t="shared" si="76"/>
        <v>1.4789682619358142</v>
      </c>
      <c r="Y210" s="416" t="s">
        <v>71</v>
      </c>
      <c r="Z210" s="417">
        <f t="shared" ref="Z210:AB211" si="89">Z155+Z183</f>
        <v>1608.2098193503202</v>
      </c>
      <c r="AA210" s="417">
        <f t="shared" si="89"/>
        <v>1791.9803023578593</v>
      </c>
      <c r="AB210" s="417">
        <f t="shared" si="89"/>
        <v>1878.6773467995265</v>
      </c>
      <c r="AC210" s="418">
        <f>SUM(Z210:AB210)</f>
        <v>5278.8674685077058</v>
      </c>
      <c r="AD210" s="417">
        <f t="shared" ref="AD210:AF211" si="90">AD155+AD183</f>
        <v>1921.7814634879758</v>
      </c>
      <c r="AE210" s="417">
        <f t="shared" si="90"/>
        <v>1736.4650942954993</v>
      </c>
      <c r="AF210" s="417">
        <f t="shared" si="90"/>
        <v>285.34417804162103</v>
      </c>
      <c r="AG210" s="419">
        <f>SUM(AD210:AF210)</f>
        <v>3943.5907358250961</v>
      </c>
      <c r="AH210" s="418">
        <f>AC210+AG210</f>
        <v>9222.458204332801</v>
      </c>
      <c r="AI210" s="417">
        <f t="shared" ref="AI210:AK211" si="91">AI155+AI183</f>
        <v>837.1292396882709</v>
      </c>
      <c r="AJ210" s="417">
        <f t="shared" si="91"/>
        <v>2046.1522553466382</v>
      </c>
      <c r="AK210" s="417">
        <f t="shared" si="91"/>
        <v>1999.0667430381134</v>
      </c>
      <c r="AL210" s="419">
        <f>SUM(AI210:AK210)</f>
        <v>4882.3482380730229</v>
      </c>
      <c r="AM210" s="418">
        <f>AH210+AL210</f>
        <v>14104.806442405825</v>
      </c>
      <c r="AN210" s="417">
        <f t="shared" ref="AN210:AP211" si="92">AN155+AN183</f>
        <v>2086.6006259523219</v>
      </c>
      <c r="AO210" s="417">
        <f t="shared" si="92"/>
        <v>2009.1788356895322</v>
      </c>
      <c r="AP210" s="417">
        <f t="shared" si="92"/>
        <v>2086.6006259523197</v>
      </c>
      <c r="AQ210" s="418">
        <f>SUM(AN210:AP210)</f>
        <v>6182.3800875941743</v>
      </c>
      <c r="AR210" s="616">
        <f>V155*12/1000</f>
        <v>20287.186530000003</v>
      </c>
      <c r="AS210" s="412">
        <f>AR210+AR211-AR212</f>
        <v>0</v>
      </c>
      <c r="AT210" s="245">
        <f>AR210/AR$153*1000</f>
        <v>57963.390085714294</v>
      </c>
      <c r="AU210" s="412">
        <f>AC210+AG210+AL210+AQ210-AR210</f>
        <v>0</v>
      </c>
    </row>
    <row r="211" spans="2:47" ht="17.399999999999999">
      <c r="B211" s="323">
        <v>1</v>
      </c>
      <c r="C211" s="401"/>
      <c r="D211" s="562">
        <f>L211-I211+J211</f>
        <v>1367.2977883831545</v>
      </c>
      <c r="E211" s="617">
        <f>(Z157+Z165)*0.4</f>
        <v>546.91911535326187</v>
      </c>
      <c r="F211" s="570"/>
      <c r="G211" s="562">
        <f>E211+F211</f>
        <v>546.91911535326187</v>
      </c>
      <c r="H211" s="562">
        <f t="shared" ref="H211:H222" si="93">H210+D211-M211</f>
        <v>820.37867302989264</v>
      </c>
      <c r="I211" s="618">
        <f>$Z162</f>
        <v>305.07217305745985</v>
      </c>
      <c r="J211" s="618">
        <f>$Z164</f>
        <v>0</v>
      </c>
      <c r="K211" s="563">
        <f t="shared" ref="K211:K222" si="94">K210+I211-J211</f>
        <v>305.07217305745985</v>
      </c>
      <c r="L211" s="619">
        <f>Z154</f>
        <v>1672.3699614406144</v>
      </c>
      <c r="M211" s="564">
        <f t="shared" ref="M211:M221" si="95">G211+J211</f>
        <v>546.91911535326187</v>
      </c>
      <c r="N211" s="565">
        <f>H211-K211</f>
        <v>515.30649997243279</v>
      </c>
      <c r="O211" s="566">
        <f t="shared" ref="O211:O223" si="96">D211+I211-J211</f>
        <v>1672.3699614406144</v>
      </c>
      <c r="P211" s="567">
        <f t="shared" ref="P211:P222" si="97">O211-M211+K210+F211-H211-K211</f>
        <v>0</v>
      </c>
      <c r="R211" s="415" t="s">
        <v>31</v>
      </c>
      <c r="S211" s="389">
        <f>S209-S210</f>
        <v>106.05046153846155</v>
      </c>
      <c r="T211" s="389">
        <f>T209-T210</f>
        <v>70.698461538461544</v>
      </c>
      <c r="U211" s="382">
        <f t="shared" si="75"/>
        <v>176.74892307692309</v>
      </c>
      <c r="V211" s="383">
        <f t="shared" si="76"/>
        <v>0.26621706777376286</v>
      </c>
      <c r="W211" s="383">
        <f t="shared" si="76"/>
        <v>0.17747341080698154</v>
      </c>
      <c r="X211" s="383">
        <f t="shared" si="76"/>
        <v>0.44369047858074434</v>
      </c>
      <c r="Y211" s="420" t="s">
        <v>72</v>
      </c>
      <c r="Z211" s="417">
        <f t="shared" si="89"/>
        <v>200.92992595108015</v>
      </c>
      <c r="AA211" s="417">
        <f t="shared" si="89"/>
        <v>224.13709336947062</v>
      </c>
      <c r="AB211" s="417">
        <f t="shared" si="89"/>
        <v>235.53363522033789</v>
      </c>
      <c r="AC211" s="418">
        <f>SUM(Z211:AB211)</f>
        <v>660.60065454088863</v>
      </c>
      <c r="AD211" s="417">
        <f t="shared" si="90"/>
        <v>241.99672511363215</v>
      </c>
      <c r="AE211" s="417">
        <f t="shared" si="90"/>
        <v>218.50786061932675</v>
      </c>
      <c r="AF211" s="417">
        <f t="shared" si="90"/>
        <v>29.558658748615812</v>
      </c>
      <c r="AG211" s="419">
        <f>SUM(AD211:AF211)</f>
        <v>490.06324448157471</v>
      </c>
      <c r="AH211" s="418">
        <f>AC211+AG211</f>
        <v>1150.6638990224633</v>
      </c>
      <c r="AI211" s="417">
        <f t="shared" si="91"/>
        <v>93.139628995635348</v>
      </c>
      <c r="AJ211" s="417">
        <f t="shared" si="91"/>
        <v>256.31091097787464</v>
      </c>
      <c r="AK211" s="417">
        <f t="shared" si="91"/>
        <v>250.00266804259803</v>
      </c>
      <c r="AL211" s="419">
        <f>SUM(AI211:AK211)</f>
        <v>599.45320801610796</v>
      </c>
      <c r="AM211" s="418">
        <f>AH211+AL211</f>
        <v>1750.1171070385712</v>
      </c>
      <c r="AN211" s="417">
        <f t="shared" si="92"/>
        <v>260.50093718368851</v>
      </c>
      <c r="AO211" s="417">
        <f t="shared" si="92"/>
        <v>251.0501745940519</v>
      </c>
      <c r="AP211" s="417">
        <f t="shared" si="92"/>
        <v>260.50093718368839</v>
      </c>
      <c r="AQ211" s="418">
        <f>SUM(AN211:AP211)</f>
        <v>772.0520489614288</v>
      </c>
      <c r="AR211" s="616">
        <f>V156*12/1000</f>
        <v>2522.1691559999999</v>
      </c>
      <c r="AS211" s="421"/>
      <c r="AT211" s="245">
        <f>AR211/AR$153*1000</f>
        <v>7206.1975885714282</v>
      </c>
      <c r="AU211" s="412">
        <f>AC211+AG211+AL211+AQ211-AR211</f>
        <v>0</v>
      </c>
    </row>
    <row r="212" spans="2:47" s="423" customFormat="1" ht="120" customHeight="1">
      <c r="B212" s="323">
        <v>2</v>
      </c>
      <c r="C212" s="401"/>
      <c r="D212" s="562">
        <f t="shared" ref="D212:D222" si="98">L212-I212+J212</f>
        <v>1666.4443058897723</v>
      </c>
      <c r="E212" s="620">
        <f>(AA157+AA165)*0.4</f>
        <v>664.35564886474685</v>
      </c>
      <c r="F212" s="562">
        <f>H211</f>
        <v>820.37867302989264</v>
      </c>
      <c r="G212" s="562">
        <f t="shared" ref="G212:G222" si="99">E212+F212</f>
        <v>1484.7343218946394</v>
      </c>
      <c r="H212" s="562">
        <f t="shared" si="93"/>
        <v>996.53347329712028</v>
      </c>
      <c r="I212" s="618">
        <f>$AA162</f>
        <v>305.07217305745985</v>
      </c>
      <c r="J212" s="618">
        <f>$AA164</f>
        <v>5.5551837279051872</v>
      </c>
      <c r="K212" s="563">
        <f t="shared" si="94"/>
        <v>604.58916238701454</v>
      </c>
      <c r="L212" s="619">
        <f>AA154</f>
        <v>1965.961295219327</v>
      </c>
      <c r="M212" s="564">
        <f t="shared" si="95"/>
        <v>1490.2895056225445</v>
      </c>
      <c r="N212" s="565">
        <f t="shared" ref="N212:N224" si="100">H212-K212</f>
        <v>391.94431091010574</v>
      </c>
      <c r="O212" s="566">
        <f t="shared" si="96"/>
        <v>1965.961295219327</v>
      </c>
      <c r="P212" s="567">
        <f t="shared" si="97"/>
        <v>0</v>
      </c>
      <c r="R212" s="621" t="str">
        <f>Y171</f>
        <v>5.11.интенсивность с рк (пропорц числу раб дней стр.5.11.1 и стоим 1 дня граф АТ)</v>
      </c>
      <c r="S212" s="622">
        <f>AR171</f>
        <v>1239.1280430714801</v>
      </c>
      <c r="T212" s="622">
        <f>AR199</f>
        <v>2130.0797441172208</v>
      </c>
      <c r="U212" s="382">
        <f t="shared" si="75"/>
        <v>3369.2077871887009</v>
      </c>
      <c r="V212" s="383">
        <f t="shared" si="76"/>
        <v>3.1105667003918986</v>
      </c>
      <c r="W212" s="383">
        <f t="shared" si="76"/>
        <v>5.347110944892167</v>
      </c>
      <c r="X212" s="606">
        <f t="shared" si="76"/>
        <v>8.4576776452840665</v>
      </c>
      <c r="Y212" s="420" t="s">
        <v>74</v>
      </c>
      <c r="Z212" s="424">
        <f>Z210+Z211</f>
        <v>1809.1397453014004</v>
      </c>
      <c r="AA212" s="424">
        <f>AA210+AA211</f>
        <v>2016.1173957273299</v>
      </c>
      <c r="AB212" s="424">
        <f>AB210+AB211</f>
        <v>2114.2109820198643</v>
      </c>
      <c r="AC212" s="418">
        <f>SUM(Z212:AB212)</f>
        <v>5939.4681230485949</v>
      </c>
      <c r="AD212" s="424">
        <f>AD210+AD211</f>
        <v>2163.7781886016078</v>
      </c>
      <c r="AE212" s="424">
        <f>AE210+AE211</f>
        <v>1954.972954914826</v>
      </c>
      <c r="AF212" s="424">
        <f>AF210+AF211</f>
        <v>314.90283679023685</v>
      </c>
      <c r="AG212" s="419">
        <f>SUM(AD212:AF212)</f>
        <v>4433.6539803066707</v>
      </c>
      <c r="AH212" s="418">
        <f>AC212+AG212</f>
        <v>10373.122103355265</v>
      </c>
      <c r="AI212" s="424">
        <f>AI210+AI211</f>
        <v>930.26886868390625</v>
      </c>
      <c r="AJ212" s="424">
        <f>AJ210+AJ211</f>
        <v>2302.4631663245127</v>
      </c>
      <c r="AK212" s="424">
        <f>AK210+AK211</f>
        <v>2249.0694110807112</v>
      </c>
      <c r="AL212" s="419">
        <f>SUM(AI212:AK212)</f>
        <v>5481.80144608913</v>
      </c>
      <c r="AM212" s="418">
        <f>AH212+AL212</f>
        <v>15854.923549444395</v>
      </c>
      <c r="AN212" s="424">
        <f>AN210+AN211</f>
        <v>2347.1015631360106</v>
      </c>
      <c r="AO212" s="424">
        <f>AO210+AO211</f>
        <v>2260.2290102835841</v>
      </c>
      <c r="AP212" s="424">
        <f>AP210+AP211</f>
        <v>2347.1015631360078</v>
      </c>
      <c r="AQ212" s="418">
        <f>SUM(AN212:AP212)</f>
        <v>6954.4321365556025</v>
      </c>
      <c r="AR212" s="535">
        <f>V157*12/1000</f>
        <v>22809.355686000003</v>
      </c>
      <c r="AS212" s="412">
        <f>AR162+AR190-AR217</f>
        <v>0</v>
      </c>
      <c r="AT212" s="245">
        <f>AR212/AR$153*1000</f>
        <v>65169.587674285722</v>
      </c>
      <c r="AU212" s="412">
        <f>AC212+AG212+AL212+AQ212-AR212</f>
        <v>0</v>
      </c>
    </row>
    <row r="213" spans="2:47" ht="96.75" customHeight="1">
      <c r="B213" s="323">
        <v>3</v>
      </c>
      <c r="C213" s="401"/>
      <c r="D213" s="562">
        <f t="shared" si="98"/>
        <v>1932.2131636811305</v>
      </c>
      <c r="E213" s="620">
        <f>(AB157+AB165)*0.4</f>
        <v>762.51558918036255</v>
      </c>
      <c r="F213" s="562">
        <f t="shared" ref="F213:F222" si="101">H212</f>
        <v>996.53347329712028</v>
      </c>
      <c r="G213" s="562">
        <f t="shared" si="99"/>
        <v>1759.0490624774829</v>
      </c>
      <c r="H213" s="562">
        <f t="shared" si="93"/>
        <v>1143.7733837705434</v>
      </c>
      <c r="I213" s="618">
        <f>$AB162</f>
        <v>305.07217305745985</v>
      </c>
      <c r="J213" s="618">
        <f>$AB164</f>
        <v>25.924190730224204</v>
      </c>
      <c r="K213" s="563">
        <f t="shared" si="94"/>
        <v>883.73714471425023</v>
      </c>
      <c r="L213" s="619">
        <f>AB154</f>
        <v>2211.3611460083662</v>
      </c>
      <c r="M213" s="564">
        <f t="shared" si="95"/>
        <v>1784.9732532077071</v>
      </c>
      <c r="N213" s="565">
        <f t="shared" si="100"/>
        <v>260.0362390562932</v>
      </c>
      <c r="O213" s="566">
        <f t="shared" si="96"/>
        <v>2211.3611460083662</v>
      </c>
      <c r="P213" s="567">
        <f t="shared" si="97"/>
        <v>0</v>
      </c>
      <c r="R213" s="151" t="s">
        <v>113</v>
      </c>
      <c r="S213" s="623">
        <f>S212/1.3</f>
        <v>953.17541774729239</v>
      </c>
      <c r="T213" s="623">
        <f>T212/1.3</f>
        <v>1638.5228800901698</v>
      </c>
      <c r="U213" s="382">
        <f t="shared" si="75"/>
        <v>2591.6982978374622</v>
      </c>
      <c r="V213" s="383">
        <f t="shared" ref="V213:X222" si="102">S213/$U$219*100</f>
        <v>2.3927436156860762</v>
      </c>
      <c r="W213" s="383">
        <f t="shared" si="102"/>
        <v>4.1131622653016668</v>
      </c>
      <c r="X213" s="606">
        <f t="shared" si="102"/>
        <v>6.5059058809877435</v>
      </c>
      <c r="Y213" s="425" t="s">
        <v>580</v>
      </c>
      <c r="Z213" s="426">
        <f>Z212/Z$209*100</f>
        <v>60.540341595399184</v>
      </c>
      <c r="AA213" s="426">
        <f t="shared" ref="AA213:AR213" si="103">AA212/AA$209*100</f>
        <v>59.408761164726656</v>
      </c>
      <c r="AB213" s="426">
        <f t="shared" si="103"/>
        <v>57.825000434070731</v>
      </c>
      <c r="AC213" s="426">
        <f t="shared" si="103"/>
        <v>59.168771768448991</v>
      </c>
      <c r="AD213" s="426">
        <f t="shared" si="103"/>
        <v>57.811449865697497</v>
      </c>
      <c r="AE213" s="426">
        <f t="shared" si="103"/>
        <v>56.419388858065631</v>
      </c>
      <c r="AF213" s="426">
        <f t="shared" si="103"/>
        <v>18.533314359265326</v>
      </c>
      <c r="AG213" s="426">
        <f t="shared" si="103"/>
        <v>49.777129731474183</v>
      </c>
      <c r="AH213" s="426">
        <f t="shared" si="103"/>
        <v>54.753326591771945</v>
      </c>
      <c r="AI213" s="426">
        <f t="shared" si="103"/>
        <v>42.914497279631689</v>
      </c>
      <c r="AJ213" s="426">
        <f t="shared" si="103"/>
        <v>62.131775112847087</v>
      </c>
      <c r="AK213" s="426">
        <f t="shared" si="103"/>
        <v>59.572291718113327</v>
      </c>
      <c r="AL213" s="426">
        <f t="shared" si="103"/>
        <v>56.812932817357932</v>
      </c>
      <c r="AM213" s="426">
        <f t="shared" si="103"/>
        <v>55.44832622689183</v>
      </c>
      <c r="AN213" s="426">
        <f t="shared" si="103"/>
        <v>60.179382020453289</v>
      </c>
      <c r="AO213" s="426">
        <f t="shared" si="103"/>
        <v>60.532298709188012</v>
      </c>
      <c r="AP213" s="426">
        <f t="shared" si="103"/>
        <v>65.05385646826781</v>
      </c>
      <c r="AQ213" s="426">
        <f t="shared" si="103"/>
        <v>61.860977698535095</v>
      </c>
      <c r="AR213" s="426">
        <f t="shared" si="103"/>
        <v>57.258023213161522</v>
      </c>
      <c r="AS213" s="427"/>
      <c r="AT213" s="427"/>
      <c r="AU213" s="428"/>
    </row>
    <row r="214" spans="2:47" ht="69.599999999999994">
      <c r="B214" s="323">
        <v>4</v>
      </c>
      <c r="C214" s="401"/>
      <c r="D214" s="562">
        <f t="shared" si="98"/>
        <v>1994.7572266847972</v>
      </c>
      <c r="E214" s="624">
        <f>(AD157+AD165)*0.4</f>
        <v>797.90289067391893</v>
      </c>
      <c r="F214" s="562">
        <f t="shared" si="101"/>
        <v>1143.7733837705434</v>
      </c>
      <c r="G214" s="562">
        <f t="shared" si="99"/>
        <v>1941.6762744444623</v>
      </c>
      <c r="H214" s="562">
        <f t="shared" si="93"/>
        <v>1196.8543360108783</v>
      </c>
      <c r="I214" s="618">
        <f>$AD162</f>
        <v>305.07217305745985</v>
      </c>
      <c r="J214" s="618">
        <f>$AD164</f>
        <v>0</v>
      </c>
      <c r="K214" s="563">
        <f t="shared" si="94"/>
        <v>1188.8093177717101</v>
      </c>
      <c r="L214" s="619">
        <f>AD154</f>
        <v>2299.829399742257</v>
      </c>
      <c r="M214" s="564">
        <f t="shared" si="95"/>
        <v>1941.6762744444623</v>
      </c>
      <c r="N214" s="565">
        <f t="shared" si="100"/>
        <v>8.0450182391682574</v>
      </c>
      <c r="O214" s="566">
        <f t="shared" si="96"/>
        <v>2299.829399742257</v>
      </c>
      <c r="P214" s="567">
        <f t="shared" si="97"/>
        <v>0</v>
      </c>
      <c r="R214" s="151" t="s">
        <v>31</v>
      </c>
      <c r="S214" s="623">
        <f>S212-S213</f>
        <v>285.95262532418769</v>
      </c>
      <c r="T214" s="623">
        <f>T212-T213</f>
        <v>491.55686402705101</v>
      </c>
      <c r="U214" s="382">
        <f t="shared" si="75"/>
        <v>777.5094893512387</v>
      </c>
      <c r="V214" s="383">
        <f t="shared" si="102"/>
        <v>0.71782308470582268</v>
      </c>
      <c r="W214" s="383">
        <f t="shared" si="102"/>
        <v>1.2339486795905001</v>
      </c>
      <c r="X214" s="606">
        <f t="shared" si="102"/>
        <v>1.9517717642963228</v>
      </c>
      <c r="Y214" s="621" t="s">
        <v>76</v>
      </c>
      <c r="Z214" s="625">
        <f>Z159+Z187</f>
        <v>20</v>
      </c>
      <c r="AA214" s="625">
        <f>AA159+AA187</f>
        <v>66</v>
      </c>
      <c r="AB214" s="625">
        <f>AB159+AB187</f>
        <v>183</v>
      </c>
      <c r="AC214" s="418">
        <f>SUM(Z214:AB214)</f>
        <v>269</v>
      </c>
      <c r="AD214" s="330">
        <f>AD187+AD159</f>
        <v>270</v>
      </c>
      <c r="AE214" s="625">
        <f>AE159+AE187</f>
        <v>224</v>
      </c>
      <c r="AF214" s="625">
        <f>AF159+AF187</f>
        <v>1816</v>
      </c>
      <c r="AG214" s="419">
        <f>SUM(AD214:AF214)</f>
        <v>2310</v>
      </c>
      <c r="AH214" s="418">
        <f>AC214+AG214</f>
        <v>2579</v>
      </c>
      <c r="AI214" s="625">
        <f>AI159+AI187</f>
        <v>2319</v>
      </c>
      <c r="AJ214" s="625">
        <f>AJ159+AJ187</f>
        <v>1255</v>
      </c>
      <c r="AK214" s="625">
        <f>AK159+AK187</f>
        <v>56</v>
      </c>
      <c r="AL214" s="419">
        <f>SUM(AI214:AK214)</f>
        <v>3630</v>
      </c>
      <c r="AM214" s="418">
        <f>AH214+AL214</f>
        <v>6209</v>
      </c>
      <c r="AN214" s="625">
        <f>AN159+AN187</f>
        <v>0</v>
      </c>
      <c r="AO214" s="625">
        <f>AO159+AO187</f>
        <v>28</v>
      </c>
      <c r="AP214" s="625">
        <f>AP159+AP187</f>
        <v>0</v>
      </c>
      <c r="AQ214" s="418">
        <f>SUM(AN214:AP214)</f>
        <v>28</v>
      </c>
      <c r="AR214" s="535">
        <f>AR187+AR159</f>
        <v>6237</v>
      </c>
      <c r="AS214" s="626">
        <f>AS187+AS159</f>
        <v>0</v>
      </c>
      <c r="AT214" s="625">
        <f>AT159+AT187</f>
        <v>0</v>
      </c>
      <c r="AU214" s="625">
        <f>AU159+AU187</f>
        <v>0</v>
      </c>
    </row>
    <row r="215" spans="2:47" s="423" customFormat="1" ht="83.4">
      <c r="B215" s="323">
        <v>5</v>
      </c>
      <c r="C215" s="401"/>
      <c r="D215" s="562">
        <f t="shared" si="98"/>
        <v>1816.0811592708912</v>
      </c>
      <c r="E215" s="624">
        <f>(AE157+AE165)*0.4</f>
        <v>726.43246370835664</v>
      </c>
      <c r="F215" s="562">
        <f t="shared" si="101"/>
        <v>1196.8543360108783</v>
      </c>
      <c r="G215" s="562">
        <f t="shared" si="99"/>
        <v>1923.286799719235</v>
      </c>
      <c r="H215" s="562">
        <f t="shared" si="93"/>
        <v>1089.6486955625344</v>
      </c>
      <c r="I215" s="618">
        <f>$AE162</f>
        <v>305.07217305745985</v>
      </c>
      <c r="J215" s="618">
        <f>$AE164</f>
        <v>0</v>
      </c>
      <c r="K215" s="563">
        <f t="shared" si="94"/>
        <v>1493.8814908291699</v>
      </c>
      <c r="L215" s="619">
        <f>AE154</f>
        <v>2121.1533323283511</v>
      </c>
      <c r="M215" s="564">
        <f t="shared" si="95"/>
        <v>1923.286799719235</v>
      </c>
      <c r="N215" s="565">
        <f t="shared" si="100"/>
        <v>-404.23279526663555</v>
      </c>
      <c r="O215" s="566">
        <f t="shared" si="96"/>
        <v>2121.1533323283511</v>
      </c>
      <c r="P215" s="567">
        <f t="shared" si="97"/>
        <v>0</v>
      </c>
      <c r="R215" s="411" t="s">
        <v>73</v>
      </c>
      <c r="S215" s="383">
        <f>AR175</f>
        <v>0</v>
      </c>
      <c r="T215" s="383">
        <f>AR203</f>
        <v>0</v>
      </c>
      <c r="U215" s="382">
        <f t="shared" si="75"/>
        <v>0</v>
      </c>
      <c r="V215" s="383">
        <f t="shared" si="102"/>
        <v>0</v>
      </c>
      <c r="W215" s="383">
        <f t="shared" si="102"/>
        <v>0</v>
      </c>
      <c r="X215" s="383">
        <f t="shared" si="102"/>
        <v>0</v>
      </c>
      <c r="Y215" s="420" t="s">
        <v>78</v>
      </c>
      <c r="Z215" s="330">
        <f>Z188+Z160</f>
        <v>20</v>
      </c>
      <c r="AA215" s="330">
        <f>AA188+AA160</f>
        <v>66</v>
      </c>
      <c r="AB215" s="330">
        <f>AB188+AB160</f>
        <v>183</v>
      </c>
      <c r="AC215" s="418">
        <f>SUM(Z215:AB215)</f>
        <v>269</v>
      </c>
      <c r="AD215" s="330">
        <f>AD188+AD160</f>
        <v>270</v>
      </c>
      <c r="AE215" s="330">
        <f>AE188+AE160</f>
        <v>224</v>
      </c>
      <c r="AF215" s="330">
        <f>AF188+AF160</f>
        <v>5026</v>
      </c>
      <c r="AG215" s="419">
        <f>SUM(AD215:AF215)</f>
        <v>5520</v>
      </c>
      <c r="AH215" s="418">
        <f>AC215+AG215</f>
        <v>5789</v>
      </c>
      <c r="AI215" s="330">
        <f>AI188+AI160</f>
        <v>252</v>
      </c>
      <c r="AJ215" s="330">
        <f>AJ188+AJ160</f>
        <v>112</v>
      </c>
      <c r="AK215" s="330">
        <f>AK188+AK160</f>
        <v>56</v>
      </c>
      <c r="AL215" s="419">
        <f>SUM(AI215:AK215)</f>
        <v>420</v>
      </c>
      <c r="AM215" s="418">
        <f>AH215+AL215</f>
        <v>6209</v>
      </c>
      <c r="AN215" s="330">
        <f>AN188+AN160</f>
        <v>0</v>
      </c>
      <c r="AO215" s="330">
        <f>AO188+AO160</f>
        <v>28</v>
      </c>
      <c r="AP215" s="330">
        <f>AP188+AP160</f>
        <v>0</v>
      </c>
      <c r="AQ215" s="418">
        <f>SUM(AN215:AP215)</f>
        <v>28</v>
      </c>
      <c r="AR215" s="535">
        <f>AR188+AR160</f>
        <v>6237</v>
      </c>
      <c r="AS215" s="429">
        <f>E175-AR215</f>
        <v>0</v>
      </c>
      <c r="AT215" s="430"/>
      <c r="AU215" s="412">
        <f>AC215+AG215+AL215+AQ215-AR215</f>
        <v>0</v>
      </c>
    </row>
    <row r="216" spans="2:47" ht="28.2">
      <c r="B216" s="323">
        <v>6</v>
      </c>
      <c r="C216" s="401"/>
      <c r="D216" s="562">
        <f t="shared" si="98"/>
        <v>4061.5285994069441</v>
      </c>
      <c r="E216" s="624">
        <f>(AF157+AF165)*0.4</f>
        <v>172.85675887022205</v>
      </c>
      <c r="F216" s="562">
        <f t="shared" si="101"/>
        <v>1089.6486955625344</v>
      </c>
      <c r="G216" s="562">
        <f t="shared" si="99"/>
        <v>1262.5054544327563</v>
      </c>
      <c r="H216" s="562">
        <f t="shared" si="93"/>
        <v>259.28513830533302</v>
      </c>
      <c r="I216" s="618">
        <f>$AF162</f>
        <v>305.07217305745985</v>
      </c>
      <c r="J216" s="618">
        <f>$AF164</f>
        <v>3629.3867022313889</v>
      </c>
      <c r="K216" s="563">
        <f t="shared" si="94"/>
        <v>-1830.4330383447591</v>
      </c>
      <c r="L216" s="619">
        <f>AF154</f>
        <v>737.21407023301492</v>
      </c>
      <c r="M216" s="564">
        <f t="shared" si="95"/>
        <v>4891.8921566641457</v>
      </c>
      <c r="N216" s="565">
        <f t="shared" si="100"/>
        <v>2089.7181766500921</v>
      </c>
      <c r="O216" s="566">
        <f t="shared" si="96"/>
        <v>737.21407023301526</v>
      </c>
      <c r="P216" s="567">
        <f t="shared" si="97"/>
        <v>0</v>
      </c>
      <c r="R216" s="415" t="s">
        <v>75</v>
      </c>
      <c r="S216" s="389">
        <f>S215/1.3</f>
        <v>0</v>
      </c>
      <c r="T216" s="389">
        <f>T215/1.3</f>
        <v>0</v>
      </c>
      <c r="U216" s="382">
        <f t="shared" si="75"/>
        <v>0</v>
      </c>
      <c r="V216" s="383">
        <f t="shared" si="102"/>
        <v>0</v>
      </c>
      <c r="W216" s="383">
        <f t="shared" si="102"/>
        <v>0</v>
      </c>
      <c r="X216" s="383">
        <f t="shared" si="102"/>
        <v>0</v>
      </c>
      <c r="Y216" s="433" t="s">
        <v>80</v>
      </c>
      <c r="Z216" s="434">
        <f>Z215/$G167</f>
        <v>0.14705967429427846</v>
      </c>
      <c r="AA216" s="434">
        <f>AA215/$G167</f>
        <v>0.48529692517111894</v>
      </c>
      <c r="AB216" s="434">
        <f>AB215/$G167</f>
        <v>1.345596019792648</v>
      </c>
      <c r="AC216" s="435">
        <f>SUM(Z216:AB216)</f>
        <v>1.9779526192580454</v>
      </c>
      <c r="AD216" s="434">
        <f>AD215/$G167</f>
        <v>1.9853056029727594</v>
      </c>
      <c r="AE216" s="434">
        <f>AE215/$G167</f>
        <v>1.6470683520959188</v>
      </c>
      <c r="AF216" s="434">
        <f>AF215/$G167</f>
        <v>36.956096150152177</v>
      </c>
      <c r="AG216" s="436">
        <f>SUM(AD216:AF216)</f>
        <v>40.588470105220857</v>
      </c>
      <c r="AH216" s="435">
        <f>AC216+AG216</f>
        <v>42.566422724478905</v>
      </c>
      <c r="AI216" s="434">
        <f>AI215/$G167</f>
        <v>1.8529518961079088</v>
      </c>
      <c r="AJ216" s="434">
        <f>AJ215/$G167</f>
        <v>0.82353417604795942</v>
      </c>
      <c r="AK216" s="434">
        <f>AK215/$G167</f>
        <v>0.41176708802397971</v>
      </c>
      <c r="AL216" s="436">
        <f>SUM(AI216:AK216)</f>
        <v>3.088253160179848</v>
      </c>
      <c r="AM216" s="435">
        <f>AH216+AL216</f>
        <v>45.654675884658751</v>
      </c>
      <c r="AN216" s="434">
        <f>AN215/$G167</f>
        <v>0</v>
      </c>
      <c r="AO216" s="434">
        <f>AO215/$G167</f>
        <v>0.20588354401198986</v>
      </c>
      <c r="AP216" s="434">
        <f>AP215/$G167</f>
        <v>0</v>
      </c>
      <c r="AQ216" s="435">
        <f>SUM(AN216:AP216)</f>
        <v>0.20588354401198986</v>
      </c>
      <c r="AR216" s="627">
        <f>AR215/$G167</f>
        <v>45.86055942867074</v>
      </c>
      <c r="AS216" s="162"/>
      <c r="AT216" s="430"/>
      <c r="AU216" s="412">
        <f>AC216+AG216+AL216+AQ216-AR216</f>
        <v>0</v>
      </c>
    </row>
    <row r="217" spans="2:47" ht="57" customHeight="1">
      <c r="B217" s="323">
        <v>7</v>
      </c>
      <c r="C217" s="401"/>
      <c r="D217" s="562">
        <f t="shared" si="98"/>
        <v>472.00823146493838</v>
      </c>
      <c r="E217" s="624">
        <f>(AI157+AI165)*0.4</f>
        <v>188.80329258597536</v>
      </c>
      <c r="F217" s="562">
        <f t="shared" si="101"/>
        <v>259.28513830533302</v>
      </c>
      <c r="G217" s="562">
        <f t="shared" si="99"/>
        <v>448.08843089130835</v>
      </c>
      <c r="H217" s="562">
        <f t="shared" si="93"/>
        <v>283.20493887896305</v>
      </c>
      <c r="I217" s="618">
        <f>$AI162</f>
        <v>305.07217305745985</v>
      </c>
      <c r="J217" s="618">
        <f>$AI164</f>
        <v>0</v>
      </c>
      <c r="K217" s="563">
        <f t="shared" si="94"/>
        <v>-1525.3608652872992</v>
      </c>
      <c r="L217" s="619">
        <f>AI154</f>
        <v>777.08040452239823</v>
      </c>
      <c r="M217" s="564">
        <f t="shared" si="95"/>
        <v>448.08843089130835</v>
      </c>
      <c r="N217" s="565">
        <f t="shared" si="100"/>
        <v>1808.5658041662623</v>
      </c>
      <c r="O217" s="566">
        <f t="shared" si="96"/>
        <v>777.08040452239823</v>
      </c>
      <c r="P217" s="567">
        <f t="shared" si="97"/>
        <v>0</v>
      </c>
      <c r="R217" s="415" t="s">
        <v>31</v>
      </c>
      <c r="S217" s="389">
        <f>S215-S216</f>
        <v>0</v>
      </c>
      <c r="T217" s="389">
        <f>T215-T216</f>
        <v>0</v>
      </c>
      <c r="U217" s="382">
        <f t="shared" si="75"/>
        <v>0</v>
      </c>
      <c r="V217" s="383">
        <f t="shared" si="102"/>
        <v>0</v>
      </c>
      <c r="W217" s="383">
        <f t="shared" si="102"/>
        <v>0</v>
      </c>
      <c r="X217" s="383">
        <f t="shared" si="102"/>
        <v>0</v>
      </c>
      <c r="Y217" s="420" t="s">
        <v>91</v>
      </c>
      <c r="Z217" s="437">
        <f>Z162+Z190</f>
        <v>434.34190867266898</v>
      </c>
      <c r="AA217" s="437">
        <f>AA162+AA190</f>
        <v>434.34190867266898</v>
      </c>
      <c r="AB217" s="437">
        <f>AB162+AB190</f>
        <v>434.34190867266898</v>
      </c>
      <c r="AC217" s="438">
        <f>SUM(Z217:AB217)</f>
        <v>1303.0257260180069</v>
      </c>
      <c r="AD217" s="437">
        <f>AD162+AD190</f>
        <v>434.34190867266898</v>
      </c>
      <c r="AE217" s="437">
        <f>AE162+AE190</f>
        <v>434.34190867266898</v>
      </c>
      <c r="AF217" s="437">
        <f>AF162+AF190</f>
        <v>434.34190867266898</v>
      </c>
      <c r="AG217" s="438">
        <f>SUM(AD217:AF217)</f>
        <v>1303.0257260180069</v>
      </c>
      <c r="AH217" s="438">
        <f>AC217+AG217</f>
        <v>2606.0514520360139</v>
      </c>
      <c r="AI217" s="437">
        <f>AI162+AI190</f>
        <v>434.34190867266898</v>
      </c>
      <c r="AJ217" s="437">
        <f>AJ162+AJ190</f>
        <v>434.34190867266898</v>
      </c>
      <c r="AK217" s="437">
        <f>AK162+AK190</f>
        <v>434.34190867266898</v>
      </c>
      <c r="AL217" s="438">
        <f>SUM(AI217:AK217)</f>
        <v>1303.0257260180069</v>
      </c>
      <c r="AM217" s="438">
        <f>AH217+AL217</f>
        <v>3909.0771780540208</v>
      </c>
      <c r="AN217" s="437">
        <f>AN162+AN190</f>
        <v>434.34190867266898</v>
      </c>
      <c r="AO217" s="437">
        <f>AO162+AO190</f>
        <v>434.34190867266898</v>
      </c>
      <c r="AP217" s="437">
        <f>AP162+AP190</f>
        <v>434.34190867266898</v>
      </c>
      <c r="AQ217" s="438">
        <f>SUM(AN217:AP217)</f>
        <v>1303.0257260180069</v>
      </c>
      <c r="AR217" s="628">
        <f>G181</f>
        <v>5212.1029040720259</v>
      </c>
      <c r="AS217" s="428">
        <f>AR165+AR193-AR220</f>
        <v>0</v>
      </c>
      <c r="AT217" s="427"/>
      <c r="AU217" s="428">
        <f>AC217+AG217+AL217+AQ217-AR217</f>
        <v>0</v>
      </c>
    </row>
    <row r="218" spans="2:47" s="423" customFormat="1" ht="42">
      <c r="B218" s="323">
        <v>8</v>
      </c>
      <c r="C218" s="401"/>
      <c r="D218" s="562">
        <f t="shared" si="98"/>
        <v>1903.6766544988229</v>
      </c>
      <c r="E218" s="620">
        <f>(AJ157+AJ165)*0.4</f>
        <v>761.47066179952913</v>
      </c>
      <c r="F218" s="562">
        <f t="shared" si="101"/>
        <v>283.20493887896305</v>
      </c>
      <c r="G218" s="562">
        <f t="shared" si="99"/>
        <v>1044.6756006784922</v>
      </c>
      <c r="H218" s="562">
        <f t="shared" si="93"/>
        <v>1142.2059926992938</v>
      </c>
      <c r="I218" s="588">
        <f>$AJ162</f>
        <v>305.07217305745985</v>
      </c>
      <c r="J218" s="588">
        <f>$AJ164</f>
        <v>0</v>
      </c>
      <c r="K218" s="563">
        <f t="shared" si="94"/>
        <v>-1220.2886922298394</v>
      </c>
      <c r="L218" s="617">
        <f>AJ154</f>
        <v>2208.7488275562828</v>
      </c>
      <c r="M218" s="564">
        <f t="shared" si="95"/>
        <v>1044.6756006784922</v>
      </c>
      <c r="N218" s="565">
        <f t="shared" si="100"/>
        <v>2362.4946849291332</v>
      </c>
      <c r="O218" s="566">
        <f t="shared" si="96"/>
        <v>2208.7488275562828</v>
      </c>
      <c r="P218" s="567">
        <f t="shared" si="97"/>
        <v>0</v>
      </c>
      <c r="R218" s="411" t="s">
        <v>77</v>
      </c>
      <c r="S218" s="383">
        <f>AR177</f>
        <v>242.66857758163999</v>
      </c>
      <c r="T218" s="383">
        <f>AR205</f>
        <v>348.06282058817442</v>
      </c>
      <c r="U218" s="382">
        <f t="shared" si="75"/>
        <v>590.73139816981438</v>
      </c>
      <c r="V218" s="383">
        <f t="shared" si="102"/>
        <v>0.60916771343974341</v>
      </c>
      <c r="W218" s="383">
        <f t="shared" si="102"/>
        <v>0.87373748453177436</v>
      </c>
      <c r="X218" s="383">
        <f t="shared" si="102"/>
        <v>1.4829051979715175</v>
      </c>
      <c r="Y218" s="425" t="s">
        <v>24</v>
      </c>
      <c r="Z218" s="426">
        <f>Z217/Z$209*100</f>
        <v>14.534646971597159</v>
      </c>
      <c r="AA218" s="426">
        <f t="shared" ref="AA218:AR218" si="104">AA217/AA$209*100</f>
        <v>12.798716369815963</v>
      </c>
      <c r="AB218" s="426">
        <f t="shared" si="104"/>
        <v>11.879524451971752</v>
      </c>
      <c r="AC218" s="426">
        <f t="shared" si="104"/>
        <v>12.980696283559496</v>
      </c>
      <c r="AD218" s="426">
        <f t="shared" si="104"/>
        <v>11.604671684961037</v>
      </c>
      <c r="AE218" s="426">
        <f t="shared" si="104"/>
        <v>12.53485629105564</v>
      </c>
      <c r="AF218" s="426">
        <f t="shared" si="104"/>
        <v>25.562790144682047</v>
      </c>
      <c r="AG218" s="426">
        <f t="shared" si="104"/>
        <v>14.629215742939037</v>
      </c>
      <c r="AH218" s="426">
        <f t="shared" si="104"/>
        <v>13.755741506420256</v>
      </c>
      <c r="AI218" s="426">
        <f t="shared" si="104"/>
        <v>20.036749896332154</v>
      </c>
      <c r="AJ218" s="426">
        <f t="shared" si="104"/>
        <v>11.720679916375925</v>
      </c>
      <c r="AK218" s="426">
        <f t="shared" si="104"/>
        <v>11.504643992475614</v>
      </c>
      <c r="AL218" s="426">
        <f t="shared" si="104"/>
        <v>13.504449907496053</v>
      </c>
      <c r="AM218" s="426">
        <f t="shared" si="104"/>
        <v>13.670944923757311</v>
      </c>
      <c r="AN218" s="426">
        <f t="shared" si="104"/>
        <v>11.136470641083502</v>
      </c>
      <c r="AO218" s="426">
        <f t="shared" si="104"/>
        <v>11.632323113308821</v>
      </c>
      <c r="AP218" s="426">
        <f t="shared" si="104"/>
        <v>12.038514493251164</v>
      </c>
      <c r="AQ218" s="426">
        <f t="shared" si="104"/>
        <v>11.59065812924019</v>
      </c>
      <c r="AR218" s="426">
        <f t="shared" si="104"/>
        <v>13.083872827408136</v>
      </c>
      <c r="AS218" s="439"/>
      <c r="AT218" s="440"/>
      <c r="AU218" s="441"/>
    </row>
    <row r="219" spans="2:47" ht="30" customHeight="1">
      <c r="B219" s="323">
        <v>9</v>
      </c>
      <c r="C219" s="401"/>
      <c r="D219" s="562">
        <f t="shared" si="98"/>
        <v>1971.0207636809198</v>
      </c>
      <c r="E219" s="620">
        <f>(AK157+AK165)*0.4</f>
        <v>788.40830547236806</v>
      </c>
      <c r="F219" s="562">
        <f t="shared" si="101"/>
        <v>1142.2059926992938</v>
      </c>
      <c r="G219" s="562">
        <f t="shared" si="99"/>
        <v>1930.6142981716619</v>
      </c>
      <c r="H219" s="562">
        <f t="shared" si="93"/>
        <v>1182.6124582085515</v>
      </c>
      <c r="I219" s="588">
        <f>$AK162</f>
        <v>305.07217305745985</v>
      </c>
      <c r="J219" s="588">
        <f>$AK164</f>
        <v>0</v>
      </c>
      <c r="K219" s="563">
        <f t="shared" si="94"/>
        <v>-915.21651917237955</v>
      </c>
      <c r="L219" s="617">
        <f>AK154</f>
        <v>2276.0929367383796</v>
      </c>
      <c r="M219" s="564">
        <f t="shared" si="95"/>
        <v>1930.6142981716619</v>
      </c>
      <c r="N219" s="565">
        <f t="shared" si="100"/>
        <v>2097.8289773809311</v>
      </c>
      <c r="O219" s="566">
        <f t="shared" si="96"/>
        <v>2276.0929367383796</v>
      </c>
      <c r="P219" s="567">
        <f t="shared" si="97"/>
        <v>0</v>
      </c>
      <c r="R219" s="431" t="s">
        <v>79</v>
      </c>
      <c r="S219" s="432">
        <f>S199+S203+S202</f>
        <v>23112.897418322318</v>
      </c>
      <c r="T219" s="432">
        <f>T199+T203+T202</f>
        <v>16723.189135145996</v>
      </c>
      <c r="U219" s="382">
        <f t="shared" si="75"/>
        <v>39836.086553468311</v>
      </c>
      <c r="V219" s="383">
        <f t="shared" si="102"/>
        <v>58.020000000000017</v>
      </c>
      <c r="W219" s="383">
        <f t="shared" si="102"/>
        <v>41.980000000000004</v>
      </c>
      <c r="X219" s="383">
        <f t="shared" si="102"/>
        <v>100</v>
      </c>
      <c r="Y219" s="236" t="s">
        <v>92</v>
      </c>
      <c r="Z219" s="442">
        <f t="shared" ref="Z219:AQ219" si="105">Z164+Z192</f>
        <v>13.589459723018038</v>
      </c>
      <c r="AA219" s="442">
        <f t="shared" si="105"/>
        <v>46.323562896959302</v>
      </c>
      <c r="AB219" s="442">
        <f t="shared" si="105"/>
        <v>131.242503583614</v>
      </c>
      <c r="AC219" s="442">
        <f t="shared" si="105"/>
        <v>191.15552620359134</v>
      </c>
      <c r="AD219" s="442">
        <f t="shared" si="105"/>
        <v>183.45770626074352</v>
      </c>
      <c r="AE219" s="442">
        <f t="shared" si="105"/>
        <v>152.20194889780203</v>
      </c>
      <c r="AF219" s="442">
        <f t="shared" si="105"/>
        <v>4380.8838249142864</v>
      </c>
      <c r="AG219" s="442">
        <f t="shared" si="105"/>
        <v>4716.5434800728317</v>
      </c>
      <c r="AH219" s="442">
        <f t="shared" si="105"/>
        <v>4907.6990062764235</v>
      </c>
      <c r="AI219" s="442">
        <f t="shared" si="105"/>
        <v>171.22719251002727</v>
      </c>
      <c r="AJ219" s="442">
        <f t="shared" si="105"/>
        <v>76.100974448901013</v>
      </c>
      <c r="AK219" s="442">
        <f t="shared" si="105"/>
        <v>38.050487224450507</v>
      </c>
      <c r="AL219" s="442">
        <f t="shared" si="105"/>
        <v>285.37865418337879</v>
      </c>
      <c r="AM219" s="442">
        <f t="shared" si="105"/>
        <v>5193.0776604598022</v>
      </c>
      <c r="AN219" s="442">
        <f t="shared" si="105"/>
        <v>0</v>
      </c>
      <c r="AO219" s="442">
        <f t="shared" si="105"/>
        <v>19.025243612225253</v>
      </c>
      <c r="AP219" s="442">
        <f t="shared" si="105"/>
        <v>0</v>
      </c>
      <c r="AQ219" s="442">
        <f t="shared" si="105"/>
        <v>19.025243612225253</v>
      </c>
      <c r="AR219" s="629">
        <f>AM219+AQ219</f>
        <v>5212.1029040720277</v>
      </c>
      <c r="AS219" s="443">
        <f>AC219+AG219+AL219+AQ219-AR219</f>
        <v>0</v>
      </c>
      <c r="AT219" s="155"/>
      <c r="AU219" s="156"/>
    </row>
    <row r="220" spans="2:47" ht="28.2">
      <c r="B220" s="323">
        <v>10</v>
      </c>
      <c r="C220" s="401"/>
      <c r="D220" s="562">
        <f t="shared" si="98"/>
        <v>2041.1097855024034</v>
      </c>
      <c r="E220" s="620">
        <f>(AN157+AN165)*0.4</f>
        <v>816.44391420096144</v>
      </c>
      <c r="F220" s="562">
        <f t="shared" si="101"/>
        <v>1182.6124582085515</v>
      </c>
      <c r="G220" s="562">
        <f t="shared" si="99"/>
        <v>1999.056372409513</v>
      </c>
      <c r="H220" s="562">
        <f t="shared" si="93"/>
        <v>1224.6658713014419</v>
      </c>
      <c r="I220" s="588">
        <f>$AN162</f>
        <v>305.07217305745985</v>
      </c>
      <c r="J220" s="588">
        <f>$AN164</f>
        <v>0</v>
      </c>
      <c r="K220" s="563">
        <f t="shared" si="94"/>
        <v>-610.1443461149197</v>
      </c>
      <c r="L220" s="617">
        <f>AN154</f>
        <v>2346.1819585598632</v>
      </c>
      <c r="M220" s="564">
        <f t="shared" si="95"/>
        <v>1999.056372409513</v>
      </c>
      <c r="N220" s="565">
        <f t="shared" si="100"/>
        <v>1834.8102174163616</v>
      </c>
      <c r="O220" s="566">
        <f t="shared" si="96"/>
        <v>2346.1819585598632</v>
      </c>
      <c r="P220" s="567">
        <f t="shared" si="97"/>
        <v>0</v>
      </c>
      <c r="R220" s="431" t="s">
        <v>81</v>
      </c>
      <c r="S220" s="432">
        <f>S200+S204</f>
        <v>15019.10147300561</v>
      </c>
      <c r="T220" s="432">
        <f>T200+T204</f>
        <v>11751.054733799952</v>
      </c>
      <c r="U220" s="382">
        <f t="shared" si="75"/>
        <v>26770.156206805565</v>
      </c>
      <c r="V220" s="383">
        <f t="shared" si="102"/>
        <v>37.702251331457603</v>
      </c>
      <c r="W220" s="383">
        <f t="shared" si="102"/>
        <v>29.498516923914188</v>
      </c>
      <c r="X220" s="383">
        <f t="shared" si="102"/>
        <v>67.200768255371784</v>
      </c>
      <c r="Y220" s="420" t="s">
        <v>93</v>
      </c>
      <c r="Z220" s="437">
        <f>Z222+Z224+Z226+Z228+Z230</f>
        <v>744.83935252465767</v>
      </c>
      <c r="AA220" s="437">
        <f>AA222+AA224+AA226+AA228+AA230</f>
        <v>943.17718321687994</v>
      </c>
      <c r="AB220" s="437">
        <f>AB222+AB224+AB226+AB228+AB230</f>
        <v>1107.6701376676406</v>
      </c>
      <c r="AC220" s="438">
        <f>SUM(Z220:AB220)</f>
        <v>2795.6866734091782</v>
      </c>
      <c r="AD220" s="437">
        <f>AD222+AD224+AD226+AD228+AD230</f>
        <v>1144.6993504792531</v>
      </c>
      <c r="AE220" s="437">
        <f>AE222+AE224+AE226+AE228+AE230</f>
        <v>1075.7580386251741</v>
      </c>
      <c r="AF220" s="437">
        <f>AF222+AF224+AF226+AF228+AF230</f>
        <v>949.87301990758249</v>
      </c>
      <c r="AG220" s="438">
        <f>SUM(AD220:AF220)</f>
        <v>3170.33040901201</v>
      </c>
      <c r="AH220" s="438">
        <f>AC220+AG220</f>
        <v>5966.0170824211882</v>
      </c>
      <c r="AI220" s="437">
        <f>AI222+AI224+AI226+AI228+AI230</f>
        <v>803.11558006119094</v>
      </c>
      <c r="AJ220" s="437">
        <f>AJ222+AJ224+AJ226+AJ228+AJ230</f>
        <v>968.9689225148079</v>
      </c>
      <c r="AK220" s="437">
        <f>AK222+AK224+AK226+AK228+AK230</f>
        <v>1091.9502555960328</v>
      </c>
      <c r="AL220" s="438">
        <f>SUM(AI220:AK220)</f>
        <v>2864.0347581720316</v>
      </c>
      <c r="AM220" s="438">
        <f>AH220+AL220</f>
        <v>8830.0518405932198</v>
      </c>
      <c r="AN220" s="437">
        <f>AN222+AN224+AN226+AN228+AN230</f>
        <v>1118.7321104834359</v>
      </c>
      <c r="AO220" s="437">
        <f>AO222+AO224+AO226+AO228+AO230</f>
        <v>1039.3513976937024</v>
      </c>
      <c r="AP220" s="437">
        <f>AP222+AP224+AP226+AP228+AP230</f>
        <v>826.49261462593006</v>
      </c>
      <c r="AQ220" s="438">
        <f>SUM(AN220:AP220)</f>
        <v>2984.5761228030683</v>
      </c>
      <c r="AR220" s="630">
        <f>AR209-AR212-AR217</f>
        <v>11814.627963396282</v>
      </c>
      <c r="AS220" s="444">
        <f>AR168+AR196-AR222</f>
        <v>0</v>
      </c>
      <c r="AT220" s="445">
        <f>AR220/AR$153*1000</f>
        <v>33756.079895417948</v>
      </c>
      <c r="AU220" s="428">
        <f>AC220+AG220+AL220+AQ220-AR220</f>
        <v>0</v>
      </c>
    </row>
    <row r="221" spans="2:47" s="423" customFormat="1" ht="17.399999999999999">
      <c r="B221" s="323">
        <v>11</v>
      </c>
      <c r="C221" s="401"/>
      <c r="D221" s="562">
        <f t="shared" si="98"/>
        <v>1955.1388357237036</v>
      </c>
      <c r="E221" s="620">
        <f>(AO157+AO165)*0.4</f>
        <v>782.05553428948133</v>
      </c>
      <c r="F221" s="562">
        <f t="shared" si="101"/>
        <v>1224.6658713014419</v>
      </c>
      <c r="G221" s="562">
        <f t="shared" si="99"/>
        <v>2006.7214055909233</v>
      </c>
      <c r="H221" s="562">
        <f t="shared" si="93"/>
        <v>1173.0833014342222</v>
      </c>
      <c r="I221" s="588">
        <f>$AO162</f>
        <v>305.07217305745985</v>
      </c>
      <c r="J221" s="588">
        <f>$AO164</f>
        <v>0</v>
      </c>
      <c r="K221" s="563">
        <f t="shared" si="94"/>
        <v>-305.07217305745985</v>
      </c>
      <c r="L221" s="617">
        <f>AO154</f>
        <v>2260.2110087811634</v>
      </c>
      <c r="M221" s="564">
        <f t="shared" si="95"/>
        <v>2006.7214055909233</v>
      </c>
      <c r="N221" s="565">
        <f t="shared" si="100"/>
        <v>1478.1554744916821</v>
      </c>
      <c r="O221" s="566">
        <f t="shared" si="96"/>
        <v>2260.2110087811634</v>
      </c>
      <c r="P221" s="567">
        <f t="shared" si="97"/>
        <v>0</v>
      </c>
      <c r="R221" s="431" t="s">
        <v>31</v>
      </c>
      <c r="S221" s="432">
        <f>S201+S205</f>
        <v>4432.9298686271895</v>
      </c>
      <c r="T221" s="432">
        <f>T201+T205</f>
        <v>3420.8975739635339</v>
      </c>
      <c r="U221" s="382">
        <f t="shared" si="75"/>
        <v>7853.8274425907239</v>
      </c>
      <c r="V221" s="383">
        <f t="shared" si="102"/>
        <v>11.127925085405355</v>
      </c>
      <c r="W221" s="383">
        <f t="shared" si="102"/>
        <v>8.5874338318147245</v>
      </c>
      <c r="X221" s="383">
        <f t="shared" si="102"/>
        <v>19.71535891722008</v>
      </c>
      <c r="Y221" s="425" t="s">
        <v>612</v>
      </c>
      <c r="Z221" s="426">
        <f>Z220/Z$209*100</f>
        <v>24.925011433003657</v>
      </c>
      <c r="AA221" s="426">
        <f t="shared" ref="AA221:AR221" si="106">AA220/AA$209*100</f>
        <v>27.792522465457381</v>
      </c>
      <c r="AB221" s="426">
        <f t="shared" si="106"/>
        <v>30.295475113957522</v>
      </c>
      <c r="AC221" s="426">
        <f t="shared" si="106"/>
        <v>27.850531947991509</v>
      </c>
      <c r="AD221" s="426">
        <f t="shared" si="106"/>
        <v>30.583878449341466</v>
      </c>
      <c r="AE221" s="426">
        <f t="shared" si="106"/>
        <v>31.045754850878733</v>
      </c>
      <c r="AF221" s="426">
        <f t="shared" si="106"/>
        <v>55.903895496052627</v>
      </c>
      <c r="AG221" s="426">
        <f t="shared" si="106"/>
        <v>35.593654525586793</v>
      </c>
      <c r="AH221" s="426">
        <f t="shared" si="106"/>
        <v>31.490931901807784</v>
      </c>
      <c r="AI221" s="426">
        <f t="shared" si="106"/>
        <v>37.048752824036171</v>
      </c>
      <c r="AJ221" s="426">
        <f t="shared" si="106"/>
        <v>26.147544970776998</v>
      </c>
      <c r="AK221" s="426">
        <f t="shared" si="106"/>
        <v>28.923064289411055</v>
      </c>
      <c r="AL221" s="426">
        <f t="shared" si="106"/>
        <v>29.682617275146011</v>
      </c>
      <c r="AM221" s="426">
        <f t="shared" si="106"/>
        <v>30.880728849350842</v>
      </c>
      <c r="AN221" s="426">
        <f t="shared" si="106"/>
        <v>28.684147338463212</v>
      </c>
      <c r="AO221" s="426">
        <f t="shared" si="106"/>
        <v>27.835378177503166</v>
      </c>
      <c r="AP221" s="426">
        <f t="shared" si="106"/>
        <v>22.90762903848103</v>
      </c>
      <c r="AQ221" s="426">
        <f t="shared" si="106"/>
        <v>26.548364172224716</v>
      </c>
      <c r="AR221" s="426">
        <f t="shared" si="106"/>
        <v>29.658103959430338</v>
      </c>
      <c r="AS221" s="439"/>
      <c r="AT221" s="446"/>
      <c r="AU221" s="441"/>
    </row>
    <row r="222" spans="2:47" s="423" customFormat="1" ht="28.2">
      <c r="B222" s="323">
        <v>12</v>
      </c>
      <c r="C222" s="323"/>
      <c r="D222" s="562">
        <f t="shared" si="98"/>
        <v>1931.6209041348391</v>
      </c>
      <c r="E222" s="617">
        <f>M222-J222-F222</f>
        <v>971.62090413484316</v>
      </c>
      <c r="F222" s="562">
        <f t="shared" si="101"/>
        <v>1173.0833014342222</v>
      </c>
      <c r="G222" s="562">
        <f t="shared" si="99"/>
        <v>2144.7042055690654</v>
      </c>
      <c r="H222" s="585">
        <f t="shared" si="93"/>
        <v>959.99999999999591</v>
      </c>
      <c r="I222" s="588">
        <f>$AP162</f>
        <v>305.07217305745985</v>
      </c>
      <c r="J222" s="588">
        <f>$AP164</f>
        <v>0</v>
      </c>
      <c r="K222" s="563">
        <f t="shared" si="94"/>
        <v>0</v>
      </c>
      <c r="L222" s="617">
        <f>AP154</f>
        <v>2236.6930771922989</v>
      </c>
      <c r="M222" s="631">
        <f>AR154-SUM(M210:M221)</f>
        <v>2144.7042055690654</v>
      </c>
      <c r="N222" s="565">
        <f t="shared" si="100"/>
        <v>959.99999999999591</v>
      </c>
      <c r="O222" s="566">
        <f t="shared" si="96"/>
        <v>2236.6930771922989</v>
      </c>
      <c r="P222" s="567">
        <f t="shared" si="97"/>
        <v>0</v>
      </c>
      <c r="R222" s="431" t="s">
        <v>41</v>
      </c>
      <c r="S222" s="432">
        <f>S202</f>
        <v>3660.8660766895182</v>
      </c>
      <c r="T222" s="432">
        <f>T202</f>
        <v>1551.2368273825091</v>
      </c>
      <c r="U222" s="382">
        <f t="shared" si="75"/>
        <v>5212.1029040720277</v>
      </c>
      <c r="V222" s="383">
        <f t="shared" si="102"/>
        <v>9.1898235831370503</v>
      </c>
      <c r="W222" s="383">
        <f t="shared" si="102"/>
        <v>3.8940492442710877</v>
      </c>
      <c r="X222" s="383">
        <f t="shared" si="102"/>
        <v>13.083872827408138</v>
      </c>
      <c r="Y222" s="420" t="s">
        <v>94</v>
      </c>
      <c r="Z222" s="424">
        <f>Z168+Z196</f>
        <v>376.97213847095441</v>
      </c>
      <c r="AA222" s="424">
        <f>AA168+AA196</f>
        <v>534.9562227726143</v>
      </c>
      <c r="AB222" s="424">
        <f>AB168+AB196</f>
        <v>683.46594108651379</v>
      </c>
      <c r="AC222" s="418">
        <f>SUM(Z222:AB222)</f>
        <v>1595.3943023300826</v>
      </c>
      <c r="AD222" s="424">
        <f>AD168+AD196</f>
        <v>717.980298282533</v>
      </c>
      <c r="AE222" s="424">
        <f>AE168+AE196</f>
        <v>689.14279229286967</v>
      </c>
      <c r="AF222" s="424">
        <f>AF168+AF196</f>
        <v>717.980298282533</v>
      </c>
      <c r="AG222" s="419">
        <f>SUM(AD222:AF222)</f>
        <v>2125.1033888579359</v>
      </c>
      <c r="AH222" s="418">
        <f>AC222+AG222</f>
        <v>3720.4976911880185</v>
      </c>
      <c r="AI222" s="424">
        <f>AI168+AI196</f>
        <v>551.80082108055478</v>
      </c>
      <c r="AJ222" s="424">
        <f>AJ168+AJ196</f>
        <v>612.33144066639841</v>
      </c>
      <c r="AK222" s="424">
        <f>AK168+AK196</f>
        <v>636.30629487169006</v>
      </c>
      <c r="AL222" s="419">
        <f>SUM(AI222:AK222)</f>
        <v>1800.4385566186434</v>
      </c>
      <c r="AM222" s="418">
        <f>AH222+AL222</f>
        <v>5520.9362478066614</v>
      </c>
      <c r="AN222" s="424">
        <f>AN168+AN196</f>
        <v>640.07857829508021</v>
      </c>
      <c r="AO222" s="424">
        <f>AO168+AO196</f>
        <v>579.92286949845652</v>
      </c>
      <c r="AP222" s="424">
        <f>AP168+AP196</f>
        <v>347.83908243757446</v>
      </c>
      <c r="AQ222" s="418">
        <f>SUM(AN222:AP222)</f>
        <v>1567.8405302311112</v>
      </c>
      <c r="AR222" s="632">
        <f>AR220-AR224-AR226-AR228-AR230</f>
        <v>7088.7767780377662</v>
      </c>
      <c r="AS222" s="429">
        <f>AR171+AR199-AR224</f>
        <v>0</v>
      </c>
      <c r="AT222" s="245">
        <f>AR222/AR$153*1000</f>
        <v>20253.64793725076</v>
      </c>
      <c r="AU222" s="412">
        <f>AC222+AG222+AL222+AQ222-AR222</f>
        <v>0</v>
      </c>
    </row>
    <row r="223" spans="2:47" ht="30.6">
      <c r="B223" s="153" t="s">
        <v>46</v>
      </c>
      <c r="C223" s="391">
        <f>H222</f>
        <v>959.99999999999591</v>
      </c>
      <c r="D223" s="392"/>
      <c r="E223" s="633"/>
      <c r="F223" s="393"/>
      <c r="G223" s="394"/>
      <c r="H223" s="587"/>
      <c r="I223" s="588"/>
      <c r="J223" s="586"/>
      <c r="K223" s="395"/>
      <c r="L223" s="617"/>
      <c r="M223" s="590"/>
      <c r="N223" s="414"/>
      <c r="O223" s="566">
        <f t="shared" si="96"/>
        <v>0</v>
      </c>
      <c r="P223" s="396"/>
      <c r="S223" s="634">
        <f>S220+S221+S222-S219</f>
        <v>0</v>
      </c>
      <c r="T223" s="634">
        <f>T220+T221+T222-T219</f>
        <v>0</v>
      </c>
      <c r="U223" s="634">
        <f>U220+U221+U222-U219</f>
        <v>0</v>
      </c>
      <c r="Y223" s="425" t="s">
        <v>627</v>
      </c>
      <c r="Z223" s="426">
        <f>Z222/Z$220*100</f>
        <v>50.611200548573976</v>
      </c>
      <c r="AA223" s="426">
        <f>AA222/AA$220*100</f>
        <v>56.71852885033195</v>
      </c>
      <c r="AB223" s="426">
        <f>AB222/AB$220*100</f>
        <v>61.703021309724036</v>
      </c>
      <c r="AC223" s="426"/>
      <c r="AD223" s="426">
        <f>AD222/AD$220*100</f>
        <v>62.72217224391148</v>
      </c>
      <c r="AE223" s="426">
        <f>AE222/AE$220*100</f>
        <v>64.061133410036959</v>
      </c>
      <c r="AF223" s="426">
        <f>AF222/AF$220*100</f>
        <v>75.586976704779829</v>
      </c>
      <c r="AG223" s="426"/>
      <c r="AH223" s="447"/>
      <c r="AI223" s="426">
        <f>AI222/AI$220*100</f>
        <v>68.707522899569696</v>
      </c>
      <c r="AJ223" s="426">
        <f>AJ222/AJ$220*100</f>
        <v>63.194125883540984</v>
      </c>
      <c r="AK223" s="426">
        <f>AK222/AK$220*100</f>
        <v>58.272461736305658</v>
      </c>
      <c r="AL223" s="426"/>
      <c r="AM223" s="447"/>
      <c r="AN223" s="426">
        <f>AN222/AN$220*100</f>
        <v>57.214642566975584</v>
      </c>
      <c r="AO223" s="426">
        <f>AO222/AO$220*100</f>
        <v>55.796612270430622</v>
      </c>
      <c r="AP223" s="426">
        <f>AP222/AP$220*100</f>
        <v>42.086169468677731</v>
      </c>
      <c r="AQ223" s="426"/>
      <c r="AR223" s="635">
        <f>AR222/AR220*100</f>
        <v>59.999999999999979</v>
      </c>
      <c r="AS223" s="447"/>
      <c r="AT223" s="448"/>
      <c r="AU223" s="426"/>
    </row>
    <row r="224" spans="2:47" ht="28.2">
      <c r="B224" s="373" t="s">
        <v>48</v>
      </c>
      <c r="C224" s="591">
        <f t="shared" ref="C224:J224" si="107">SUM(C210:C223)</f>
        <v>1919.9999999999959</v>
      </c>
      <c r="D224" s="592">
        <f t="shared" si="107"/>
        <v>23112.897418322314</v>
      </c>
      <c r="E224" s="592">
        <f t="shared" si="107"/>
        <v>7979.785079134027</v>
      </c>
      <c r="F224" s="449">
        <f t="shared" si="107"/>
        <v>11472.246262498775</v>
      </c>
      <c r="G224" s="397">
        <f t="shared" si="107"/>
        <v>19452.031341632803</v>
      </c>
      <c r="H224" s="449">
        <f t="shared" si="107"/>
        <v>11472.246262498769</v>
      </c>
      <c r="I224" s="376">
        <f t="shared" si="107"/>
        <v>3660.8660766895173</v>
      </c>
      <c r="J224" s="398">
        <f t="shared" si="107"/>
        <v>3660.8660766895182</v>
      </c>
      <c r="K224" s="376">
        <f>I224-J224</f>
        <v>0</v>
      </c>
      <c r="L224" s="399">
        <f>SUM(L210:L223)</f>
        <v>23112.897418322318</v>
      </c>
      <c r="M224" s="593">
        <f>SUM(M210:M223)</f>
        <v>23112.897418322318</v>
      </c>
      <c r="N224" s="400">
        <f t="shared" si="100"/>
        <v>11472.246262498769</v>
      </c>
      <c r="O224" s="594">
        <f>SUM(O210:O223)</f>
        <v>23112.897418322318</v>
      </c>
      <c r="P224" s="399">
        <f>SUM(P210:P223)</f>
        <v>0</v>
      </c>
      <c r="Y224" s="420" t="s">
        <v>95</v>
      </c>
      <c r="Z224" s="437">
        <f>Z171+Z199</f>
        <v>261.3321122131502</v>
      </c>
      <c r="AA224" s="437">
        <f>AA171+AA199</f>
        <v>289.76315128416769</v>
      </c>
      <c r="AB224" s="437">
        <f>AB171+AB199</f>
        <v>300.5774377665702</v>
      </c>
      <c r="AC224" s="438">
        <f>SUM(Z224:AB224)</f>
        <v>851.67270126388803</v>
      </c>
      <c r="AD224" s="437">
        <f>AD171+AD199</f>
        <v>301.33296142173475</v>
      </c>
      <c r="AE224" s="437">
        <f>AE171+AE199</f>
        <v>273.16420159813015</v>
      </c>
      <c r="AF224" s="437">
        <f>AF171+AF199</f>
        <v>161.54311880725686</v>
      </c>
      <c r="AG224" s="438">
        <f>SUM(AD224:AF224)</f>
        <v>736.04028182712182</v>
      </c>
      <c r="AH224" s="438">
        <f>AC224+AG224</f>
        <v>1587.7129830910098</v>
      </c>
      <c r="AI224" s="437">
        <f>AI171+AI199</f>
        <v>190.80343157756249</v>
      </c>
      <c r="AJ224" s="437">
        <f>AJ171+AJ199</f>
        <v>260.42646131584024</v>
      </c>
      <c r="AK224" s="437">
        <f>AK171+AK199</f>
        <v>323.45984416772018</v>
      </c>
      <c r="AL224" s="438">
        <f>SUM(AI224:AK224)</f>
        <v>774.68973706112297</v>
      </c>
      <c r="AM224" s="438">
        <f>AH224+AL224</f>
        <v>2362.402720152133</v>
      </c>
      <c r="AN224" s="437">
        <f>AN171+AN199</f>
        <v>340.22505835758409</v>
      </c>
      <c r="AO224" s="437">
        <f>AO171+AO199</f>
        <v>326.35495032140011</v>
      </c>
      <c r="AP224" s="437">
        <f>AP171+AP199</f>
        <v>340.22505835758392</v>
      </c>
      <c r="AQ224" s="438">
        <f>SUM(AN224:AP224)</f>
        <v>1006.8050670365681</v>
      </c>
      <c r="AR224" s="636">
        <f>AR171+AR199</f>
        <v>3369.2077871887009</v>
      </c>
      <c r="AS224" s="450">
        <f>AR173+AR201-AR226</f>
        <v>0</v>
      </c>
      <c r="AT224" s="445">
        <f>AR224/AR$153*1000</f>
        <v>9626.307963396288</v>
      </c>
      <c r="AU224" s="428">
        <f>AC224+AG224+AL224+AQ224-AR224</f>
        <v>0</v>
      </c>
    </row>
    <row r="225" spans="2:47" s="423" customFormat="1" ht="17.399999999999999">
      <c r="B225" s="323" t="s">
        <v>50</v>
      </c>
      <c r="C225" s="401"/>
      <c r="D225" s="392"/>
      <c r="E225" s="392"/>
      <c r="F225" s="392"/>
      <c r="G225" s="422"/>
      <c r="H225" s="392"/>
      <c r="I225" s="391"/>
      <c r="J225" s="596"/>
      <c r="K225" s="392"/>
      <c r="L225" s="402"/>
      <c r="M225" s="597"/>
      <c r="N225" s="414"/>
      <c r="O225" s="392">
        <f>F210</f>
        <v>960</v>
      </c>
      <c r="P225" s="396"/>
      <c r="Y225" s="425" t="s">
        <v>637</v>
      </c>
      <c r="Z225" s="441">
        <f>Z224/Z$220*100</f>
        <v>35.085701544548684</v>
      </c>
      <c r="AA225" s="441">
        <f>AA224/AA$220*100</f>
        <v>30.722027254293511</v>
      </c>
      <c r="AB225" s="441">
        <f>AB224/AB$220*100</f>
        <v>27.136006248166932</v>
      </c>
      <c r="AC225" s="451"/>
      <c r="AD225" s="441">
        <f>AD224/AD$220*100</f>
        <v>26.324201310638923</v>
      </c>
      <c r="AE225" s="441">
        <f>AE224/AE$220*100</f>
        <v>25.392717673505448</v>
      </c>
      <c r="AF225" s="441">
        <f>AF224/AF$220*100</f>
        <v>17.006812007669627</v>
      </c>
      <c r="AG225" s="441"/>
      <c r="AH225" s="440"/>
      <c r="AI225" s="441">
        <f>AI224/AI$220*100</f>
        <v>23.757904380715019</v>
      </c>
      <c r="AJ225" s="441">
        <f>AJ224/AJ$220*100</f>
        <v>26.876657781752577</v>
      </c>
      <c r="AK225" s="441">
        <f>AK224/AK$220*100</f>
        <v>29.622214245571293</v>
      </c>
      <c r="AL225" s="441"/>
      <c r="AM225" s="440"/>
      <c r="AN225" s="441">
        <f>AN224/AN$220*100</f>
        <v>30.4116647023355</v>
      </c>
      <c r="AO225" s="441">
        <f>AO224/AO$220*100</f>
        <v>31.399866401832377</v>
      </c>
      <c r="AP225" s="441">
        <f>AP224/AP$220*100</f>
        <v>41.164924203414635</v>
      </c>
      <c r="AQ225" s="451"/>
      <c r="AR225" s="637">
        <f>AR224/AR220*100</f>
        <v>28.517256722996926</v>
      </c>
      <c r="AS225" s="439"/>
      <c r="AT225" s="446"/>
      <c r="AU225" s="441"/>
    </row>
    <row r="226" spans="2:47" ht="28.2">
      <c r="B226" s="407" t="s">
        <v>53</v>
      </c>
      <c r="C226" s="401"/>
      <c r="D226" s="392"/>
      <c r="E226" s="392"/>
      <c r="F226" s="392"/>
      <c r="G226" s="422"/>
      <c r="H226" s="392"/>
      <c r="I226" s="391"/>
      <c r="J226" s="596"/>
      <c r="K226" s="392"/>
      <c r="L226" s="402"/>
      <c r="M226" s="422"/>
      <c r="N226" s="414"/>
      <c r="O226" s="403">
        <f>C223</f>
        <v>959.99999999999591</v>
      </c>
      <c r="P226" s="396"/>
      <c r="Y226" s="420" t="s">
        <v>96</v>
      </c>
      <c r="Z226" s="424">
        <f>Z173+Z201</f>
        <v>60.551700083840103</v>
      </c>
      <c r="AA226" s="424">
        <f>AA173+AA201</f>
        <v>67.43018910456469</v>
      </c>
      <c r="AB226" s="424">
        <f>AB173+AB201</f>
        <v>70.601234241915733</v>
      </c>
      <c r="AC226" s="418">
        <f>SUM(Z226:AB226)</f>
        <v>198.58312343032054</v>
      </c>
      <c r="AD226" s="424">
        <f>AD173+AD201</f>
        <v>72.046209250395307</v>
      </c>
      <c r="AE226" s="424">
        <f>AE173+AE201</f>
        <v>65.124138942636193</v>
      </c>
      <c r="AF226" s="424">
        <f>AF173+AF201</f>
        <v>41.363012614661471</v>
      </c>
      <c r="AG226" s="419">
        <f>SUM(AD226:AF226)</f>
        <v>178.53336080769296</v>
      </c>
      <c r="AH226" s="418">
        <f>AC226+AG226</f>
        <v>377.11648423801353</v>
      </c>
      <c r="AI226" s="424">
        <f>AI173+AI201</f>
        <v>29.096982530494245</v>
      </c>
      <c r="AJ226" s="424">
        <f>AJ173+AJ201</f>
        <v>51.631335301518035</v>
      </c>
      <c r="AK226" s="424">
        <f>AK173+AK201</f>
        <v>75.228621466079602</v>
      </c>
      <c r="AL226" s="419">
        <f>SUM(AI226:AK226)</f>
        <v>155.95693929809187</v>
      </c>
      <c r="AM226" s="418">
        <f>AH226+AL226</f>
        <v>533.07342353610534</v>
      </c>
      <c r="AN226" s="424">
        <f>AN173+AN201</f>
        <v>78.596782307227244</v>
      </c>
      <c r="AO226" s="424">
        <f>AO173+AO201</f>
        <v>75.645011849440081</v>
      </c>
      <c r="AP226" s="424">
        <f>AP173+AP201</f>
        <v>78.596782307227315</v>
      </c>
      <c r="AQ226" s="418">
        <f>SUM(AN226:AP226)</f>
        <v>232.83857646389464</v>
      </c>
      <c r="AR226" s="638">
        <f>AR173+AR201</f>
        <v>765.91200000000003</v>
      </c>
      <c r="AS226" s="421"/>
      <c r="AT226" s="245">
        <f>AR226/AR$153*1000</f>
        <v>2188.3200000000002</v>
      </c>
      <c r="AU226" s="412">
        <f>AC226+AG226+AL226+AQ226-AR226</f>
        <v>0</v>
      </c>
    </row>
    <row r="227" spans="2:47" ht="111">
      <c r="B227" s="206" t="s">
        <v>21</v>
      </c>
      <c r="C227" s="373" t="s">
        <v>97</v>
      </c>
      <c r="D227" s="452" t="str">
        <f t="shared" ref="D227:P227" si="108">D209</f>
        <v>1.ЗП начисление за отраб время (базов+тариф+отпускные) без резерва</v>
      </c>
      <c r="E227" s="452" t="str">
        <f t="shared" si="108"/>
        <v xml:space="preserve">2. выплата аванса (гр1 х0, 4)- касса </v>
      </c>
      <c r="F227" s="452" t="str">
        <f t="shared" si="108"/>
        <v xml:space="preserve">3.  выплата ЗП  пред месяц касса </v>
      </c>
      <c r="G227" s="452" t="str">
        <f t="shared" si="108"/>
        <v>4. итоговыплата по  кассе (2+3)</v>
      </c>
      <c r="H227" s="452" t="str">
        <f t="shared" si="108"/>
        <v>5. Cальдо расчетов по   ЗП (+КЗ;-ДЗ (пред.стр.(5)+начисл(1)-выплата(3))</v>
      </c>
      <c r="I227" s="452" t="str">
        <f t="shared" si="108"/>
        <v>6. Начисление 1/12 резерват</v>
      </c>
      <c r="J227" s="452" t="str">
        <f t="shared" si="108"/>
        <v>7. выплачены отпускные касса</v>
      </c>
      <c r="K227" s="452" t="str">
        <f t="shared" si="108"/>
        <v>8. Сальдо  резерва (-недостат),(+ наличие)</v>
      </c>
      <c r="L227" s="452" t="str">
        <f t="shared" si="108"/>
        <v>9. всего факт расход ЗП (ФЗП(базов+стим) +1/12 резерва)</v>
      </c>
      <c r="M227" s="452" t="str">
        <f t="shared" si="108"/>
        <v>10. в ПФХД - всего КР ФЗП( (2)зп.пред.мес.+(3)аванс+(7)отпуск))</v>
      </c>
      <c r="N227" s="452" t="str">
        <f t="shared" si="108"/>
        <v>11. Свернутое сальдо задолженности по ЗП и резерва (ЗП-остаток резерва),(+КЗ,-ДЗ)</v>
      </c>
      <c r="O227" s="452" t="str">
        <f t="shared" si="108"/>
        <v>13. факт расхожды ФЗП по смете (=раздел 5 )</v>
      </c>
      <c r="P227" s="639" t="str">
        <f t="shared" si="108"/>
        <v>К</v>
      </c>
      <c r="Q227" s="568"/>
      <c r="Y227" s="425" t="s">
        <v>98</v>
      </c>
      <c r="Z227" s="426">
        <f>Z226/Z$220*100</f>
        <v>8.1294979754490839</v>
      </c>
      <c r="AA227" s="426">
        <f>AA226/AA$220*100</f>
        <v>7.1492600016660264</v>
      </c>
      <c r="AB227" s="426">
        <f>AB226/AB$220*100</f>
        <v>6.3738501058245394</v>
      </c>
      <c r="AC227" s="426"/>
      <c r="AD227" s="426">
        <f>AD226/AD$220*100</f>
        <v>6.2938979759385383</v>
      </c>
      <c r="AE227" s="426">
        <f>AE226/AE$220*100</f>
        <v>6.053790592712212</v>
      </c>
      <c r="AF227" s="426">
        <f>AF226/AF$220*100</f>
        <v>4.3545833756480281</v>
      </c>
      <c r="AG227" s="426"/>
      <c r="AH227" s="447"/>
      <c r="AI227" s="426">
        <f>AI226/AI$220*100</f>
        <v>3.6230130821615103</v>
      </c>
      <c r="AJ227" s="426">
        <f>AJ226/AJ$220*100</f>
        <v>5.3284820701490556</v>
      </c>
      <c r="AK227" s="426">
        <f>AK226/AK$220*100</f>
        <v>6.8893817351612441</v>
      </c>
      <c r="AL227" s="426"/>
      <c r="AM227" s="447"/>
      <c r="AN227" s="426">
        <f>AN226/AN$220*100</f>
        <v>7.0255230515608726</v>
      </c>
      <c r="AO227" s="426">
        <f>AO226/AO$220*100</f>
        <v>7.2780978615408287</v>
      </c>
      <c r="AP227" s="426">
        <f>AP226/AP$220*100</f>
        <v>9.5096775114923631</v>
      </c>
      <c r="AQ227" s="426"/>
      <c r="AR227" s="640">
        <f>AR226/AR220*100</f>
        <v>6.4827432770030935</v>
      </c>
      <c r="AS227" s="447"/>
      <c r="AT227" s="448"/>
      <c r="AU227" s="426">
        <f>AC227+AG227+AL227+AQ227-AR227</f>
        <v>-6.4827432770030935</v>
      </c>
    </row>
    <row r="228" spans="2:47" s="423" customFormat="1" ht="40.200000000000003">
      <c r="B228" s="206" t="str">
        <f t="shared" ref="B228:B240" si="109">B210</f>
        <v>кредиторка на нач года педагогов</v>
      </c>
      <c r="C228" s="641">
        <f>C192-C210</f>
        <v>790</v>
      </c>
      <c r="D228" s="612"/>
      <c r="E228" s="641"/>
      <c r="F228" s="562">
        <f>C228</f>
        <v>790</v>
      </c>
      <c r="G228" s="562">
        <f>E228+F228</f>
        <v>790</v>
      </c>
      <c r="H228" s="562">
        <f>C228+D228-M228</f>
        <v>0</v>
      </c>
      <c r="I228" s="642"/>
      <c r="J228" s="643"/>
      <c r="K228" s="563">
        <f>I228-J228</f>
        <v>0</v>
      </c>
      <c r="L228" s="644"/>
      <c r="M228" s="564">
        <f>G228+J228</f>
        <v>790</v>
      </c>
      <c r="N228" s="565">
        <f>H228-K228</f>
        <v>0</v>
      </c>
      <c r="O228" s="566">
        <f>-M228+F228-H228</f>
        <v>0</v>
      </c>
      <c r="P228" s="567">
        <f>O228-M228+F228-H228-K228</f>
        <v>0</v>
      </c>
      <c r="Q228" s="568"/>
      <c r="Y228" s="420" t="s">
        <v>99</v>
      </c>
      <c r="Z228" s="424">
        <f>Z175+Z203</f>
        <v>0</v>
      </c>
      <c r="AA228" s="424">
        <f>AA175+AA203</f>
        <v>0</v>
      </c>
      <c r="AB228" s="424">
        <f>AB175+AB203</f>
        <v>0</v>
      </c>
      <c r="AC228" s="418">
        <f>SUM(Z228:AB228)</f>
        <v>0</v>
      </c>
      <c r="AD228" s="424">
        <f>AD175+AD203</f>
        <v>0</v>
      </c>
      <c r="AE228" s="424">
        <f>AE175+AE203</f>
        <v>0</v>
      </c>
      <c r="AF228" s="424">
        <f>AF175+AF203</f>
        <v>0</v>
      </c>
      <c r="AG228" s="419">
        <f>SUM(AD228:AF228)</f>
        <v>0</v>
      </c>
      <c r="AH228" s="418">
        <f>AC228+AG228</f>
        <v>0</v>
      </c>
      <c r="AI228" s="424">
        <f>AI175+AI203</f>
        <v>0</v>
      </c>
      <c r="AJ228" s="424">
        <f>AJ175+AJ203</f>
        <v>0</v>
      </c>
      <c r="AK228" s="424">
        <f>AK175+AK203</f>
        <v>0</v>
      </c>
      <c r="AL228" s="419">
        <f>SUM(AI228:AK228)</f>
        <v>0</v>
      </c>
      <c r="AM228" s="418">
        <f>AH228+AL228</f>
        <v>0</v>
      </c>
      <c r="AN228" s="424">
        <f>AN175+AN203</f>
        <v>0</v>
      </c>
      <c r="AO228" s="424">
        <f>AO175+AO203</f>
        <v>0</v>
      </c>
      <c r="AP228" s="424">
        <f>AP175+AP203</f>
        <v>0</v>
      </c>
      <c r="AQ228" s="418">
        <f>SUM(AN228:AP228)</f>
        <v>0</v>
      </c>
      <c r="AR228" s="535">
        <f>AR175+AR203</f>
        <v>0</v>
      </c>
      <c r="AS228" s="412">
        <f>AR177+AR205-AR230</f>
        <v>0</v>
      </c>
      <c r="AT228" s="245">
        <f>AR228/AR$153*1000</f>
        <v>0</v>
      </c>
      <c r="AU228" s="412">
        <f>AC228+AG228+AL228+AQ228-AR228</f>
        <v>0</v>
      </c>
    </row>
    <row r="229" spans="2:47" ht="17.399999999999999">
      <c r="B229" s="206">
        <f t="shared" si="109"/>
        <v>1</v>
      </c>
      <c r="C229" s="641"/>
      <c r="D229" s="562">
        <f t="shared" ref="D229:D240" si="110">L229-I229+J229</f>
        <v>1200.2707691659214</v>
      </c>
      <c r="E229" s="645">
        <f>(Z185+Z193)*0.4</f>
        <v>474.67252377716142</v>
      </c>
      <c r="F229" s="570"/>
      <c r="G229" s="562">
        <f>E229+F229</f>
        <v>474.67252377716142</v>
      </c>
      <c r="H229" s="562">
        <f t="shared" ref="H229:H240" si="111">H228+D229-M229</f>
        <v>712.00878566574193</v>
      </c>
      <c r="I229" s="646">
        <f>$Z190</f>
        <v>129.2697356152091</v>
      </c>
      <c r="J229" s="647">
        <f>$Z192</f>
        <v>13.589459723018038</v>
      </c>
      <c r="K229" s="563">
        <f t="shared" ref="K229:K240" si="112">K228+I229-J229</f>
        <v>115.68027589219106</v>
      </c>
      <c r="L229" s="644">
        <f>Z182</f>
        <v>1315.9510450581124</v>
      </c>
      <c r="M229" s="564">
        <f t="shared" ref="M229:M239" si="113">G229+J229</f>
        <v>488.26198350017944</v>
      </c>
      <c r="N229" s="565">
        <f>H229-K229</f>
        <v>596.32850977355088</v>
      </c>
      <c r="O229" s="566">
        <f t="shared" ref="O229:O241" si="114">D229+I229-J229</f>
        <v>1315.9510450581124</v>
      </c>
      <c r="P229" s="567">
        <f t="shared" ref="P229:P240" si="115">O229-M229+K228+F229-H229-K229</f>
        <v>0</v>
      </c>
      <c r="Q229" s="648"/>
      <c r="Y229" s="425" t="s">
        <v>650</v>
      </c>
      <c r="Z229" s="441">
        <f>Z228/Z$220*100</f>
        <v>0</v>
      </c>
      <c r="AA229" s="441">
        <f>AA228/AA$220*100</f>
        <v>0</v>
      </c>
      <c r="AB229" s="441">
        <f>AB228/AB$220*100</f>
        <v>0</v>
      </c>
      <c r="AC229" s="451"/>
      <c r="AD229" s="441">
        <f>AD228/AD$220*100</f>
        <v>0</v>
      </c>
      <c r="AE229" s="441">
        <f>AE228/AE$220*100</f>
        <v>0</v>
      </c>
      <c r="AF229" s="441">
        <f>AF228/AF$220*100</f>
        <v>0</v>
      </c>
      <c r="AG229" s="441"/>
      <c r="AH229" s="440"/>
      <c r="AI229" s="441">
        <f>AI228/AI$220*100</f>
        <v>0</v>
      </c>
      <c r="AJ229" s="441">
        <f>AJ228/AJ$220*100</f>
        <v>0</v>
      </c>
      <c r="AK229" s="441">
        <f>AK228/AK$220*100</f>
        <v>0</v>
      </c>
      <c r="AL229" s="441"/>
      <c r="AM229" s="440"/>
      <c r="AN229" s="441">
        <f>AN228/AN$220*100</f>
        <v>0</v>
      </c>
      <c r="AO229" s="441">
        <f>AO228/AO$220*100</f>
        <v>0</v>
      </c>
      <c r="AP229" s="441">
        <f>AP228/AP$220*100</f>
        <v>0</v>
      </c>
      <c r="AQ229" s="451"/>
      <c r="AR229" s="649">
        <f>AR228/AR220*100</f>
        <v>0</v>
      </c>
      <c r="AS229" s="439"/>
      <c r="AT229" s="446"/>
      <c r="AU229" s="441"/>
    </row>
    <row r="230" spans="2:47" ht="92.25" customHeight="1">
      <c r="B230" s="206">
        <f t="shared" si="109"/>
        <v>2</v>
      </c>
      <c r="C230" s="641"/>
      <c r="D230" s="562">
        <f t="shared" si="110"/>
        <v>1339.1738359513965</v>
      </c>
      <c r="E230" s="645">
        <f>(AA185+AA193)*0.4</f>
        <v>519.36218271293717</v>
      </c>
      <c r="F230" s="562">
        <f>H229</f>
        <v>712.00878566574193</v>
      </c>
      <c r="G230" s="562">
        <f t="shared" ref="G230:G240" si="116">E230+F230</f>
        <v>1231.3709683786792</v>
      </c>
      <c r="H230" s="562">
        <f t="shared" si="111"/>
        <v>779.04327406940524</v>
      </c>
      <c r="I230" s="646">
        <f>$AA190</f>
        <v>129.2697356152091</v>
      </c>
      <c r="J230" s="647">
        <f>$AA192</f>
        <v>40.768379169054114</v>
      </c>
      <c r="K230" s="563">
        <f t="shared" si="112"/>
        <v>204.18163233834605</v>
      </c>
      <c r="L230" s="644">
        <f>AA182</f>
        <v>1427.6751923975517</v>
      </c>
      <c r="M230" s="564">
        <f t="shared" si="113"/>
        <v>1272.1393475477332</v>
      </c>
      <c r="N230" s="565">
        <f t="shared" ref="N230:N240" si="117">H230-K230</f>
        <v>574.86164173105919</v>
      </c>
      <c r="O230" s="566">
        <f t="shared" si="114"/>
        <v>1427.6751923975517</v>
      </c>
      <c r="P230" s="567">
        <f t="shared" si="115"/>
        <v>0</v>
      </c>
      <c r="Q230" s="650"/>
      <c r="Y230" s="420" t="s">
        <v>100</v>
      </c>
      <c r="Z230" s="437">
        <f>Z177+Z205</f>
        <v>45.983401756712908</v>
      </c>
      <c r="AA230" s="437">
        <f>AA177+AA205</f>
        <v>51.027620055533191</v>
      </c>
      <c r="AB230" s="437">
        <f>AB177+AB205</f>
        <v>53.025524572640833</v>
      </c>
      <c r="AC230" s="438">
        <f>SUM(Z230:AB230)</f>
        <v>150.03654638488695</v>
      </c>
      <c r="AD230" s="437">
        <f>AD177+AD205</f>
        <v>53.339881524590041</v>
      </c>
      <c r="AE230" s="437">
        <f>AE177+AE205</f>
        <v>48.326905791538039</v>
      </c>
      <c r="AF230" s="437">
        <f>AF177+AF205</f>
        <v>28.9865902031312</v>
      </c>
      <c r="AG230" s="438">
        <f>SUM(AD230:AF230)</f>
        <v>130.65337751925927</v>
      </c>
      <c r="AH230" s="438">
        <f>AC230+AG230</f>
        <v>280.68992390414621</v>
      </c>
      <c r="AI230" s="437">
        <f>AI177+AI205</f>
        <v>31.414344872579505</v>
      </c>
      <c r="AJ230" s="437">
        <f>AJ177+AJ205</f>
        <v>44.579685231051229</v>
      </c>
      <c r="AK230" s="437">
        <f>AK177+AK205</f>
        <v>56.955495090542797</v>
      </c>
      <c r="AL230" s="438">
        <f>SUM(AI230:AK230)</f>
        <v>132.94952519417353</v>
      </c>
      <c r="AM230" s="438">
        <f>AH230+AL230</f>
        <v>413.63944909831974</v>
      </c>
      <c r="AN230" s="437">
        <f>AN177+AN205</f>
        <v>59.831691523544407</v>
      </c>
      <c r="AO230" s="437">
        <f>AO177+AO205</f>
        <v>57.428566024405839</v>
      </c>
      <c r="AP230" s="437">
        <f>AP177+AP205</f>
        <v>59.831691523544379</v>
      </c>
      <c r="AQ230" s="438">
        <f>SUM(AN230:AP230)</f>
        <v>177.09194907149464</v>
      </c>
      <c r="AR230" s="636">
        <f>IF((V187*12/1000)/AR220*100&gt;5,AR220*5/100,V187*12/1000)</f>
        <v>590.73139816981438</v>
      </c>
      <c r="AS230" s="412">
        <f>AR179+AR207-AR232</f>
        <v>0</v>
      </c>
      <c r="AT230" s="445">
        <f>AR230/AR$153*1000</f>
        <v>1687.8039947708983</v>
      </c>
      <c r="AU230" s="428">
        <f>AC230+AG230+AL230+AQ230-AR230</f>
        <v>0</v>
      </c>
    </row>
    <row r="231" spans="2:47" s="423" customFormat="1" ht="17.399999999999999">
      <c r="B231" s="206">
        <f t="shared" si="109"/>
        <v>3</v>
      </c>
      <c r="C231" s="641"/>
      <c r="D231" s="562">
        <f t="shared" si="110"/>
        <v>1420.9104595899885</v>
      </c>
      <c r="E231" s="645">
        <f>(AB185+AB193)*0.4</f>
        <v>526.23685869463952</v>
      </c>
      <c r="F231" s="562">
        <f t="shared" ref="F231:F240" si="118">H230</f>
        <v>779.04327406940524</v>
      </c>
      <c r="G231" s="562">
        <f t="shared" si="116"/>
        <v>1305.2801327640448</v>
      </c>
      <c r="H231" s="562">
        <f t="shared" si="111"/>
        <v>789.35528804195928</v>
      </c>
      <c r="I231" s="646">
        <f>$AB190</f>
        <v>129.2697356152091</v>
      </c>
      <c r="J231" s="647">
        <f>$AB192</f>
        <v>105.3183128533898</v>
      </c>
      <c r="K231" s="563">
        <f t="shared" si="112"/>
        <v>228.13305510016539</v>
      </c>
      <c r="L231" s="644">
        <f>AB182</f>
        <v>1444.8618823518077</v>
      </c>
      <c r="M231" s="564">
        <f t="shared" si="113"/>
        <v>1410.5984456174347</v>
      </c>
      <c r="N231" s="565">
        <f t="shared" si="117"/>
        <v>561.22223294179389</v>
      </c>
      <c r="O231" s="566">
        <f t="shared" si="114"/>
        <v>1444.8618823518077</v>
      </c>
      <c r="P231" s="567">
        <f t="shared" si="115"/>
        <v>-3.4106051316484809E-13</v>
      </c>
      <c r="Q231" s="568"/>
      <c r="Y231" s="425" t="s">
        <v>657</v>
      </c>
      <c r="Z231" s="441">
        <f>Z230/Z$220*100</f>
        <v>6.173599931428253</v>
      </c>
      <c r="AA231" s="441">
        <f>AA230/AA$220*100</f>
        <v>5.4101838937085045</v>
      </c>
      <c r="AB231" s="441">
        <f>AB230/AB$220*100</f>
        <v>4.7871223362844946</v>
      </c>
      <c r="AC231" s="451"/>
      <c r="AD231" s="441">
        <f>AD230/AD$220*100</f>
        <v>4.6597284695110686</v>
      </c>
      <c r="AE231" s="441">
        <f>AE230/AE$220*100</f>
        <v>4.4923583237453792</v>
      </c>
      <c r="AF231" s="441">
        <f>AF230/AF$220*100</f>
        <v>3.0516279119025236</v>
      </c>
      <c r="AG231" s="441"/>
      <c r="AH231" s="440"/>
      <c r="AI231" s="441">
        <f>AI230/AI$220*100</f>
        <v>3.9115596375537862</v>
      </c>
      <c r="AJ231" s="441">
        <f>AJ230/AJ$220*100</f>
        <v>4.6007342645573814</v>
      </c>
      <c r="AK231" s="441">
        <f>AK230/AK$220*100</f>
        <v>5.2159422829617883</v>
      </c>
      <c r="AL231" s="441"/>
      <c r="AM231" s="440"/>
      <c r="AN231" s="441">
        <f>AN230/AN$220*100</f>
        <v>5.3481696791280475</v>
      </c>
      <c r="AO231" s="441">
        <f>AO230/AO$220*100</f>
        <v>5.5254234661961821</v>
      </c>
      <c r="AP231" s="441">
        <f>AP230/AP$220*100</f>
        <v>7.2392288164152747</v>
      </c>
      <c r="AQ231" s="451"/>
      <c r="AR231" s="651">
        <f>AR230/AR220*100</f>
        <v>5.0000000000000027</v>
      </c>
      <c r="AS231" s="439"/>
      <c r="AT231" s="446"/>
      <c r="AU231" s="441"/>
    </row>
    <row r="232" spans="2:47" ht="62.4">
      <c r="B232" s="206">
        <f t="shared" si="109"/>
        <v>4</v>
      </c>
      <c r="C232" s="641"/>
      <c r="D232" s="562">
        <f t="shared" si="110"/>
        <v>1497.1780186568071</v>
      </c>
      <c r="E232" s="645">
        <f>(AD185+AD193)*0.4</f>
        <v>525.4881249584256</v>
      </c>
      <c r="F232" s="562">
        <f t="shared" si="118"/>
        <v>789.35528804195928</v>
      </c>
      <c r="G232" s="562">
        <f t="shared" si="116"/>
        <v>1314.8434130003848</v>
      </c>
      <c r="H232" s="562">
        <f t="shared" si="111"/>
        <v>788.232187437638</v>
      </c>
      <c r="I232" s="646">
        <f>$AD190</f>
        <v>129.2697356152091</v>
      </c>
      <c r="J232" s="647">
        <f>$AD192</f>
        <v>183.45770626074352</v>
      </c>
      <c r="K232" s="563">
        <f t="shared" si="112"/>
        <v>173.945084454631</v>
      </c>
      <c r="L232" s="644">
        <f>AD182</f>
        <v>1442.9900480112728</v>
      </c>
      <c r="M232" s="564">
        <f t="shared" si="113"/>
        <v>1498.3011192611284</v>
      </c>
      <c r="N232" s="565">
        <f t="shared" si="117"/>
        <v>614.287102983007</v>
      </c>
      <c r="O232" s="566">
        <f t="shared" si="114"/>
        <v>1442.9900480112728</v>
      </c>
      <c r="P232" s="567">
        <f t="shared" si="115"/>
        <v>0</v>
      </c>
      <c r="Q232" s="568"/>
      <c r="Y232" s="453" t="s">
        <v>101</v>
      </c>
      <c r="Z232" s="454">
        <f t="shared" ref="Z232:AR232" si="119">Z179+Z207</f>
        <v>2567.5685575490761</v>
      </c>
      <c r="AA232" s="454">
        <f t="shared" si="119"/>
        <v>3005.6181418411688</v>
      </c>
      <c r="AB232" s="454">
        <f t="shared" si="119"/>
        <v>3353.123623271119</v>
      </c>
      <c r="AC232" s="454">
        <f t="shared" si="119"/>
        <v>8926.3103226613639</v>
      </c>
      <c r="AD232" s="454">
        <f t="shared" si="119"/>
        <v>3491.935245341605</v>
      </c>
      <c r="AE232" s="454">
        <f t="shared" si="119"/>
        <v>3182.932942437802</v>
      </c>
      <c r="AF232" s="454">
        <f t="shared" si="119"/>
        <v>5645.6596816121055</v>
      </c>
      <c r="AG232" s="454">
        <f t="shared" si="119"/>
        <v>12320.527869391513</v>
      </c>
      <c r="AH232" s="454">
        <f t="shared" si="119"/>
        <v>21246.838192052877</v>
      </c>
      <c r="AI232" s="454">
        <f t="shared" si="119"/>
        <v>1904.6116412551246</v>
      </c>
      <c r="AJ232" s="454">
        <f t="shared" si="119"/>
        <v>3347.5330632882215</v>
      </c>
      <c r="AK232" s="454">
        <f t="shared" si="119"/>
        <v>3379.0701539011943</v>
      </c>
      <c r="AL232" s="454">
        <f t="shared" si="119"/>
        <v>8631.2148584445404</v>
      </c>
      <c r="AM232" s="454">
        <f t="shared" si="119"/>
        <v>29878.053050497416</v>
      </c>
      <c r="AN232" s="454">
        <f t="shared" si="119"/>
        <v>3465.8336736194465</v>
      </c>
      <c r="AO232" s="454">
        <f t="shared" si="119"/>
        <v>3318.6056515895116</v>
      </c>
      <c r="AP232" s="454">
        <f t="shared" si="119"/>
        <v>3173.5941777619382</v>
      </c>
      <c r="AQ232" s="454">
        <f t="shared" si="119"/>
        <v>9958.0335029708967</v>
      </c>
      <c r="AR232" s="652">
        <f t="shared" si="119"/>
        <v>39836.086553468311</v>
      </c>
      <c r="AS232" s="412" t="e">
        <f>#REF!-AR232</f>
        <v>#REF!</v>
      </c>
      <c r="AT232" s="445">
        <f>AR232/AR$153*1000</f>
        <v>113817.3901527666</v>
      </c>
      <c r="AU232" s="428">
        <f>AC232+AG232+AL232+AQ232-AR232</f>
        <v>0</v>
      </c>
    </row>
    <row r="233" spans="2:47" ht="17.399999999999999">
      <c r="B233" s="206">
        <f t="shared" si="109"/>
        <v>5</v>
      </c>
      <c r="C233" s="641"/>
      <c r="D233" s="562">
        <f t="shared" si="110"/>
        <v>1366.8517831669105</v>
      </c>
      <c r="E233" s="653">
        <f>(AE185+AE193)*0.4</f>
        <v>485.85993370764339</v>
      </c>
      <c r="F233" s="562">
        <f t="shared" si="118"/>
        <v>788.232187437638</v>
      </c>
      <c r="G233" s="562">
        <f t="shared" si="116"/>
        <v>1274.0921211452815</v>
      </c>
      <c r="H233" s="562">
        <f t="shared" si="111"/>
        <v>728.78990056146495</v>
      </c>
      <c r="I233" s="647">
        <f>$AE190</f>
        <v>129.2697356152091</v>
      </c>
      <c r="J233" s="647">
        <f>$AE192</f>
        <v>152.20194889780203</v>
      </c>
      <c r="K233" s="563">
        <f t="shared" si="112"/>
        <v>151.0128711720381</v>
      </c>
      <c r="L233" s="644">
        <f>AE182</f>
        <v>1343.9195698843178</v>
      </c>
      <c r="M233" s="564">
        <f t="shared" si="113"/>
        <v>1426.2940700430836</v>
      </c>
      <c r="N233" s="565">
        <f t="shared" si="117"/>
        <v>577.77702938942684</v>
      </c>
      <c r="O233" s="566">
        <f t="shared" si="114"/>
        <v>1343.9195698843178</v>
      </c>
      <c r="P233" s="567">
        <f t="shared" si="115"/>
        <v>0</v>
      </c>
      <c r="Q233" s="568"/>
      <c r="Y233" s="420" t="s">
        <v>102</v>
      </c>
      <c r="Z233" s="163">
        <f>Z232/$G$167*1000</f>
        <v>18879.289790069877</v>
      </c>
      <c r="AA233" s="163">
        <f>AA232/$G$167*1000</f>
        <v>22100.26124960684</v>
      </c>
      <c r="AB233" s="163">
        <f>AB232/$G$167*1000</f>
        <v>24655.463395335082</v>
      </c>
      <c r="AC233" s="163">
        <f>AC232/$G$167*1000/3</f>
        <v>21878.338145003931</v>
      </c>
      <c r="AD233" s="163">
        <f>AD232/$G$167*1000</f>
        <v>25676.142991832392</v>
      </c>
      <c r="AE233" s="163">
        <f>AE232/$G$167*1000</f>
        <v>23404.054090771631</v>
      </c>
      <c r="AF233" s="163">
        <f>AF232/$G$167*1000</f>
        <v>41512.443697710805</v>
      </c>
      <c r="AG233" s="163">
        <f>AG232/$G$167*1000/3</f>
        <v>30197.546926771611</v>
      </c>
      <c r="AH233" s="163">
        <f>AH232/$G$167*1000/6</f>
        <v>26037.942535887767</v>
      </c>
      <c r="AI233" s="163">
        <f>AI232/$G$167*1000</f>
        <v>14004.578381003488</v>
      </c>
      <c r="AJ233" s="163">
        <f>AJ232/$G$167*1000</f>
        <v>24614.356098824708</v>
      </c>
      <c r="AK233" s="163">
        <f>AK232/$G$167*1000</f>
        <v>24846.247812511356</v>
      </c>
      <c r="AL233" s="163">
        <f>AL232/$G$167*1000/3</f>
        <v>21155.060764113183</v>
      </c>
      <c r="AM233" s="163">
        <f>AM232/$G$167*1000/9</f>
        <v>24410.315278629572</v>
      </c>
      <c r="AN233" s="163">
        <f>AN232/$G$167*1000</f>
        <v>25484.21856003092</v>
      </c>
      <c r="AO233" s="163">
        <f>AO232/$G$167*1000</f>
        <v>24401.653311695267</v>
      </c>
      <c r="AP233" s="163">
        <f>AP232/$G$167*1000</f>
        <v>23335.386306194458</v>
      </c>
      <c r="AQ233" s="163">
        <f>AQ232/$G$167*1000/3</f>
        <v>24407.086059306883</v>
      </c>
      <c r="AR233" s="654">
        <f>AR232/$G$167*1000/12</f>
        <v>24409.5079737989</v>
      </c>
      <c r="AS233" s="330"/>
      <c r="AT233" s="430"/>
      <c r="AU233" s="412"/>
    </row>
    <row r="234" spans="2:47" ht="17.399999999999999">
      <c r="B234" s="206">
        <f t="shared" si="109"/>
        <v>6</v>
      </c>
      <c r="C234" s="641"/>
      <c r="D234" s="562">
        <f t="shared" si="110"/>
        <v>1584.1310822051619</v>
      </c>
      <c r="E234" s="653">
        <f>(AF185+AF193)*0.4</f>
        <v>333.05358380890573</v>
      </c>
      <c r="F234" s="562">
        <f t="shared" si="118"/>
        <v>728.78990056146495</v>
      </c>
      <c r="G234" s="562">
        <f t="shared" si="116"/>
        <v>1061.8434843703708</v>
      </c>
      <c r="H234" s="562">
        <f t="shared" si="111"/>
        <v>499.58037571335853</v>
      </c>
      <c r="I234" s="647">
        <f>$AF190</f>
        <v>129.2697356152091</v>
      </c>
      <c r="J234" s="647">
        <f>$AF192</f>
        <v>751.4971226828975</v>
      </c>
      <c r="K234" s="563">
        <f t="shared" si="112"/>
        <v>-471.21451589565027</v>
      </c>
      <c r="L234" s="644">
        <f>AF182</f>
        <v>961.90369513747339</v>
      </c>
      <c r="M234" s="564">
        <f t="shared" si="113"/>
        <v>1813.3406070532683</v>
      </c>
      <c r="N234" s="565">
        <f t="shared" si="117"/>
        <v>970.7948916090088</v>
      </c>
      <c r="O234" s="566">
        <f t="shared" si="114"/>
        <v>961.90369513747351</v>
      </c>
      <c r="P234" s="567">
        <f t="shared" si="115"/>
        <v>0</v>
      </c>
      <c r="Q234" s="568"/>
      <c r="Y234" s="420" t="s">
        <v>103</v>
      </c>
      <c r="Z234" s="455">
        <f t="shared" ref="Z234:AR234" si="120">Z180</f>
        <v>19362.379327862815</v>
      </c>
      <c r="AA234" s="455">
        <f t="shared" si="120"/>
        <v>23598.609647098259</v>
      </c>
      <c r="AB234" s="455">
        <f t="shared" si="120"/>
        <v>27362.177087790322</v>
      </c>
      <c r="AC234" s="455">
        <f t="shared" si="120"/>
        <v>23441.055354250464</v>
      </c>
      <c r="AD234" s="455">
        <f t="shared" si="120"/>
        <v>28247.867010550137</v>
      </c>
      <c r="AE234" s="455">
        <f t="shared" si="120"/>
        <v>25717.625373744861</v>
      </c>
      <c r="AF234" s="455">
        <f t="shared" si="120"/>
        <v>57515.530311560258</v>
      </c>
      <c r="AG234" s="455">
        <f t="shared" si="120"/>
        <v>37160.340898618415</v>
      </c>
      <c r="AH234" s="455">
        <f t="shared" si="120"/>
        <v>30300.698126434439</v>
      </c>
      <c r="AI234" s="455">
        <f t="shared" si="120"/>
        <v>6684.1345763493273</v>
      </c>
      <c r="AJ234" s="455">
        <f t="shared" si="120"/>
        <v>26958.070008721421</v>
      </c>
      <c r="AK234" s="455">
        <f t="shared" si="120"/>
        <v>27911.733649926242</v>
      </c>
      <c r="AL234" s="455">
        <f t="shared" si="120"/>
        <v>20517.979411665663</v>
      </c>
      <c r="AM234" s="455">
        <f t="shared" si="120"/>
        <v>27039.791888178181</v>
      </c>
      <c r="AN234" s="455">
        <f t="shared" si="120"/>
        <v>28904.268150279084</v>
      </c>
      <c r="AO234" s="455">
        <f t="shared" si="120"/>
        <v>27686.828792931588</v>
      </c>
      <c r="AP234" s="455">
        <f t="shared" si="120"/>
        <v>27353.790067718121</v>
      </c>
      <c r="AQ234" s="455">
        <f t="shared" si="120"/>
        <v>27981.629003642931</v>
      </c>
      <c r="AR234" s="655">
        <f t="shared" si="120"/>
        <v>27275.251167044371</v>
      </c>
      <c r="AS234" s="427"/>
      <c r="AT234" s="427"/>
      <c r="AU234" s="428"/>
    </row>
    <row r="235" spans="2:47" s="423" customFormat="1" ht="28.2">
      <c r="B235" s="206">
        <f t="shared" si="109"/>
        <v>7</v>
      </c>
      <c r="C235" s="641"/>
      <c r="D235" s="562">
        <f t="shared" si="110"/>
        <v>1443.856408789399</v>
      </c>
      <c r="E235" s="653">
        <f>(AJ185+AJ193)*0.4</f>
        <v>547.10217373619912</v>
      </c>
      <c r="F235" s="562">
        <f t="shared" si="118"/>
        <v>499.58037571335853</v>
      </c>
      <c r="G235" s="562">
        <f t="shared" si="116"/>
        <v>1046.6825494495577</v>
      </c>
      <c r="H235" s="562">
        <f t="shared" si="111"/>
        <v>820.65326060429879</v>
      </c>
      <c r="I235" s="647">
        <f>$AJ190</f>
        <v>129.2697356152091</v>
      </c>
      <c r="J235" s="647">
        <f>$AJ192</f>
        <v>76.100974448901013</v>
      </c>
      <c r="K235" s="563">
        <f t="shared" si="112"/>
        <v>-418.04575472934215</v>
      </c>
      <c r="L235" s="644">
        <f>AJ182</f>
        <v>1497.025169955707</v>
      </c>
      <c r="M235" s="564">
        <f t="shared" si="113"/>
        <v>1122.7835238984587</v>
      </c>
      <c r="N235" s="565">
        <f t="shared" si="117"/>
        <v>1238.699015333641</v>
      </c>
      <c r="O235" s="566">
        <f t="shared" si="114"/>
        <v>1497.025169955707</v>
      </c>
      <c r="P235" s="567">
        <f t="shared" si="115"/>
        <v>0</v>
      </c>
      <c r="Q235" s="568"/>
      <c r="Y235" s="420" t="s">
        <v>104</v>
      </c>
      <c r="Z235" s="455">
        <f t="shared" ref="Z235:AR235" si="121">Z208</f>
        <v>18357.53417091044</v>
      </c>
      <c r="AA235" s="455">
        <f t="shared" si="121"/>
        <v>20481.986303266021</v>
      </c>
      <c r="AB235" s="455">
        <f t="shared" si="121"/>
        <v>21732.106609455765</v>
      </c>
      <c r="AC235" s="455">
        <f t="shared" si="121"/>
        <v>20190.542361210744</v>
      </c>
      <c r="AD235" s="455">
        <f t="shared" si="121"/>
        <v>22898.580339940752</v>
      </c>
      <c r="AE235" s="455">
        <f t="shared" si="121"/>
        <v>20905.306503042724</v>
      </c>
      <c r="AF235" s="455">
        <f t="shared" si="121"/>
        <v>24228.483455438189</v>
      </c>
      <c r="AG235" s="455">
        <f t="shared" si="121"/>
        <v>22677.456766140549</v>
      </c>
      <c r="AH235" s="455">
        <f t="shared" si="121"/>
        <v>21433.99956367565</v>
      </c>
      <c r="AI235" s="455">
        <f t="shared" si="121"/>
        <v>21910.944367046111</v>
      </c>
      <c r="AJ235" s="455">
        <f t="shared" si="121"/>
        <v>22083.05329359843</v>
      </c>
      <c r="AK235" s="455">
        <f t="shared" si="121"/>
        <v>21535.403060144934</v>
      </c>
      <c r="AL235" s="455">
        <f t="shared" si="121"/>
        <v>21843.133573596489</v>
      </c>
      <c r="AM235" s="455">
        <f t="shared" si="121"/>
        <v>21570.377566982595</v>
      </c>
      <c r="AN235" s="455">
        <f t="shared" si="121"/>
        <v>21790.431069479371</v>
      </c>
      <c r="AO235" s="455">
        <f t="shared" si="121"/>
        <v>20853.535140702061</v>
      </c>
      <c r="AP235" s="455">
        <f t="shared" si="121"/>
        <v>18995.35287842642</v>
      </c>
      <c r="AQ235" s="455">
        <f t="shared" si="121"/>
        <v>20546.439696202619</v>
      </c>
      <c r="AR235" s="655">
        <f t="shared" si="121"/>
        <v>21314.393099287598</v>
      </c>
      <c r="AS235" s="427"/>
      <c r="AT235" s="427"/>
      <c r="AU235" s="428"/>
    </row>
    <row r="236" spans="2:47" ht="28.2">
      <c r="B236" s="206">
        <f t="shared" si="109"/>
        <v>8</v>
      </c>
      <c r="C236" s="641"/>
      <c r="D236" s="562">
        <f t="shared" si="110"/>
        <v>1432.6034097901861</v>
      </c>
      <c r="E236" s="653">
        <f>(AI185+AI193)*0.4</f>
        <v>504.5504869120636</v>
      </c>
      <c r="F236" s="562">
        <f t="shared" si="118"/>
        <v>820.65326060429879</v>
      </c>
      <c r="G236" s="562">
        <f t="shared" si="116"/>
        <v>1325.2037475163625</v>
      </c>
      <c r="H236" s="562">
        <f t="shared" si="111"/>
        <v>756.82573036809526</v>
      </c>
      <c r="I236" s="647">
        <f>$AI190</f>
        <v>129.2697356152091</v>
      </c>
      <c r="J236" s="647">
        <f>$AI192</f>
        <v>171.22719251002727</v>
      </c>
      <c r="K236" s="563">
        <f t="shared" si="112"/>
        <v>-460.00321162416037</v>
      </c>
      <c r="L236" s="644">
        <f>AI182</f>
        <v>1390.6459528953681</v>
      </c>
      <c r="M236" s="564">
        <f t="shared" si="113"/>
        <v>1496.4309400263896</v>
      </c>
      <c r="N236" s="565">
        <f t="shared" si="117"/>
        <v>1216.8289419922557</v>
      </c>
      <c r="O236" s="566">
        <f t="shared" si="114"/>
        <v>1390.6459528953681</v>
      </c>
      <c r="P236" s="567">
        <f t="shared" si="115"/>
        <v>0</v>
      </c>
      <c r="Q236" s="568"/>
      <c r="Y236" s="420" t="s">
        <v>105</v>
      </c>
      <c r="Z236" s="424">
        <f t="shared" ref="Z236:AR236" si="122">Z234/$H164*100</f>
        <v>70.126125647309649</v>
      </c>
      <c r="AA236" s="424">
        <f t="shared" si="122"/>
        <v>85.468786515964254</v>
      </c>
      <c r="AB236" s="424">
        <f t="shared" si="122"/>
        <v>99.099570148443931</v>
      </c>
      <c r="AC236" s="424">
        <f t="shared" si="122"/>
        <v>84.898160770572602</v>
      </c>
      <c r="AD236" s="424">
        <f t="shared" si="122"/>
        <v>102.30733721861145</v>
      </c>
      <c r="AE236" s="424">
        <f t="shared" si="122"/>
        <v>93.143378598849907</v>
      </c>
      <c r="AF236" s="424">
        <f t="shared" si="122"/>
        <v>208.30814421118538</v>
      </c>
      <c r="AG236" s="424">
        <f t="shared" si="122"/>
        <v>134.58628667621556</v>
      </c>
      <c r="AH236" s="424">
        <f t="shared" si="122"/>
        <v>109.74222372339409</v>
      </c>
      <c r="AI236" s="424">
        <f t="shared" si="122"/>
        <v>24.208412262127585</v>
      </c>
      <c r="AJ236" s="424">
        <f t="shared" si="122"/>
        <v>97.635986395543611</v>
      </c>
      <c r="AK236" s="424">
        <f t="shared" si="122"/>
        <v>101.08993878414098</v>
      </c>
      <c r="AL236" s="424">
        <f t="shared" si="122"/>
        <v>74.311445813937397</v>
      </c>
      <c r="AM236" s="424">
        <f t="shared" si="122"/>
        <v>97.931964420241854</v>
      </c>
      <c r="AN236" s="424">
        <f t="shared" si="122"/>
        <v>104.68467256672285</v>
      </c>
      <c r="AO236" s="424">
        <f t="shared" si="122"/>
        <v>100.27538464318364</v>
      </c>
      <c r="AP236" s="424">
        <f t="shared" si="122"/>
        <v>99.069194272967536</v>
      </c>
      <c r="AQ236" s="424">
        <f t="shared" si="122"/>
        <v>101.34308382762467</v>
      </c>
      <c r="AR236" s="656">
        <f t="shared" si="122"/>
        <v>98.784744272087565</v>
      </c>
      <c r="AS236" s="330"/>
      <c r="AT236" s="430"/>
      <c r="AU236" s="412"/>
    </row>
    <row r="237" spans="2:47" ht="31.2">
      <c r="B237" s="206">
        <f t="shared" si="109"/>
        <v>9</v>
      </c>
      <c r="C237" s="641"/>
      <c r="D237" s="562">
        <f t="shared" si="110"/>
        <v>1408.0493902202745</v>
      </c>
      <c r="E237" s="645">
        <f>(AK185+AK193)*0.4</f>
        <v>547.99956119832962</v>
      </c>
      <c r="F237" s="562">
        <f t="shared" si="118"/>
        <v>756.82573036809526</v>
      </c>
      <c r="G237" s="562">
        <f t="shared" si="116"/>
        <v>1304.8252915664248</v>
      </c>
      <c r="H237" s="562">
        <f t="shared" si="111"/>
        <v>821.99934179749471</v>
      </c>
      <c r="I237" s="657">
        <f>$AK190</f>
        <v>129.2697356152091</v>
      </c>
      <c r="J237" s="657">
        <f>$AK192</f>
        <v>38.050487224450507</v>
      </c>
      <c r="K237" s="563">
        <f t="shared" si="112"/>
        <v>-368.78396323340178</v>
      </c>
      <c r="L237" s="658">
        <f>AK182</f>
        <v>1499.2686386110331</v>
      </c>
      <c r="M237" s="564">
        <f t="shared" si="113"/>
        <v>1342.8757787908753</v>
      </c>
      <c r="N237" s="565">
        <f t="shared" si="117"/>
        <v>1190.7833050308964</v>
      </c>
      <c r="O237" s="566">
        <f t="shared" si="114"/>
        <v>1499.2686386110331</v>
      </c>
      <c r="P237" s="567">
        <f t="shared" si="115"/>
        <v>0</v>
      </c>
      <c r="Q237" s="568"/>
      <c r="Y237" s="167" t="s">
        <v>106</v>
      </c>
      <c r="Z237" s="456">
        <f t="shared" ref="Z237:AR237" si="123">Z232/$AR232*100</f>
        <v>6.4453333138104947</v>
      </c>
      <c r="AA237" s="456">
        <f t="shared" si="123"/>
        <v>7.5449633783855861</v>
      </c>
      <c r="AB237" s="456">
        <f t="shared" si="123"/>
        <v>8.4173017818166702</v>
      </c>
      <c r="AC237" s="456">
        <f t="shared" si="123"/>
        <v>22.407598474012751</v>
      </c>
      <c r="AD237" s="456">
        <f t="shared" si="123"/>
        <v>8.7657587565854449</v>
      </c>
      <c r="AE237" s="456">
        <f t="shared" si="123"/>
        <v>7.990074371802673</v>
      </c>
      <c r="AF237" s="456">
        <f t="shared" si="123"/>
        <v>14.172224658751196</v>
      </c>
      <c r="AG237" s="456">
        <f t="shared" si="123"/>
        <v>30.928057787139313</v>
      </c>
      <c r="AH237" s="456">
        <f t="shared" si="123"/>
        <v>53.335656261152067</v>
      </c>
      <c r="AI237" s="456">
        <f t="shared" si="123"/>
        <v>4.7811213551279437</v>
      </c>
      <c r="AJ237" s="456">
        <f t="shared" si="123"/>
        <v>8.4032678732011892</v>
      </c>
      <c r="AK237" s="456">
        <f t="shared" si="123"/>
        <v>8.4824350137049223</v>
      </c>
      <c r="AL237" s="456">
        <f t="shared" si="123"/>
        <v>21.666824242034053</v>
      </c>
      <c r="AM237" s="456">
        <f t="shared" si="123"/>
        <v>75.002480503186121</v>
      </c>
      <c r="AN237" s="456">
        <f t="shared" si="123"/>
        <v>8.7002363270989918</v>
      </c>
      <c r="AO237" s="456">
        <f t="shared" si="123"/>
        <v>8.3306517750815026</v>
      </c>
      <c r="AP237" s="456">
        <f t="shared" si="123"/>
        <v>7.9666313946333931</v>
      </c>
      <c r="AQ237" s="456">
        <f t="shared" si="123"/>
        <v>24.99751949681389</v>
      </c>
      <c r="AR237" s="659">
        <f t="shared" si="123"/>
        <v>100</v>
      </c>
      <c r="AS237" s="430"/>
      <c r="AT237" s="430"/>
      <c r="AU237" s="454">
        <f>AC237+AG237+AL237+AQ237-AR237</f>
        <v>0</v>
      </c>
    </row>
    <row r="238" spans="2:47" s="423" customFormat="1" ht="17.399999999999999">
      <c r="B238" s="206">
        <f t="shared" si="109"/>
        <v>10</v>
      </c>
      <c r="C238" s="641"/>
      <c r="D238" s="562">
        <f t="shared" si="110"/>
        <v>1424.7238881170426</v>
      </c>
      <c r="E238" s="645">
        <f>(AN185+AN193)*0.4</f>
        <v>569.88955524681717</v>
      </c>
      <c r="F238" s="562">
        <f t="shared" si="118"/>
        <v>821.99934179749471</v>
      </c>
      <c r="G238" s="562">
        <f t="shared" si="116"/>
        <v>1391.8888970443118</v>
      </c>
      <c r="H238" s="562">
        <f t="shared" si="111"/>
        <v>854.83433287022535</v>
      </c>
      <c r="I238" s="657">
        <f>$AN190</f>
        <v>129.2697356152091</v>
      </c>
      <c r="J238" s="657">
        <f>$AN192</f>
        <v>0</v>
      </c>
      <c r="K238" s="563">
        <f t="shared" si="112"/>
        <v>-239.51422761819268</v>
      </c>
      <c r="L238" s="658">
        <f>AN182</f>
        <v>1553.9936237322518</v>
      </c>
      <c r="M238" s="564">
        <f t="shared" si="113"/>
        <v>1391.8888970443118</v>
      </c>
      <c r="N238" s="565">
        <f t="shared" si="117"/>
        <v>1094.3485604884181</v>
      </c>
      <c r="O238" s="566">
        <f t="shared" si="114"/>
        <v>1553.9936237322518</v>
      </c>
      <c r="P238" s="567">
        <f t="shared" si="115"/>
        <v>2.5579538487363607E-13</v>
      </c>
      <c r="Q238" s="568"/>
    </row>
    <row r="239" spans="2:47" s="148" customFormat="1" ht="17.399999999999999">
      <c r="B239" s="206">
        <f t="shared" si="109"/>
        <v>11</v>
      </c>
      <c r="C239" s="641"/>
      <c r="D239" s="562">
        <f t="shared" si="110"/>
        <v>1363.4668158658083</v>
      </c>
      <c r="E239" s="645">
        <f>(AO185+AO193)*0.4</f>
        <v>537.77662890143336</v>
      </c>
      <c r="F239" s="562">
        <f t="shared" si="118"/>
        <v>854.83433287022535</v>
      </c>
      <c r="G239" s="562">
        <f t="shared" si="116"/>
        <v>1392.6109617716588</v>
      </c>
      <c r="H239" s="562">
        <f t="shared" si="111"/>
        <v>806.66494335214952</v>
      </c>
      <c r="I239" s="657">
        <f>$AO190</f>
        <v>129.2697356152091</v>
      </c>
      <c r="J239" s="657">
        <f>$AO192</f>
        <v>19.025243612225253</v>
      </c>
      <c r="K239" s="563">
        <f t="shared" si="112"/>
        <v>-129.26973561520884</v>
      </c>
      <c r="L239" s="658">
        <f>AO182</f>
        <v>1473.7113078687921</v>
      </c>
      <c r="M239" s="564">
        <f t="shared" si="113"/>
        <v>1411.6362053838841</v>
      </c>
      <c r="N239" s="565">
        <f t="shared" si="117"/>
        <v>935.93467896735842</v>
      </c>
      <c r="O239" s="566">
        <f t="shared" si="114"/>
        <v>1473.7113078687921</v>
      </c>
      <c r="P239" s="567">
        <f t="shared" si="115"/>
        <v>0</v>
      </c>
      <c r="Q239" s="568"/>
    </row>
    <row r="240" spans="2:47" s="148" customFormat="1" ht="17.399999999999999">
      <c r="B240" s="206">
        <f t="shared" si="109"/>
        <v>12</v>
      </c>
      <c r="C240" s="641"/>
      <c r="D240" s="562">
        <f t="shared" si="110"/>
        <v>1241.9732736270994</v>
      </c>
      <c r="E240" s="645">
        <f>(AP185+AP193)*0.4</f>
        <v>496.78930945083977</v>
      </c>
      <c r="F240" s="562">
        <f t="shared" si="118"/>
        <v>806.66494335214952</v>
      </c>
      <c r="G240" s="562">
        <f t="shared" si="116"/>
        <v>1303.4542528029892</v>
      </c>
      <c r="H240" s="585">
        <f t="shared" si="111"/>
        <v>789.99999999999818</v>
      </c>
      <c r="I240" s="657">
        <f>$AP190</f>
        <v>129.2697356152091</v>
      </c>
      <c r="J240" s="657">
        <f>$AP192</f>
        <v>0</v>
      </c>
      <c r="K240" s="563">
        <f t="shared" si="112"/>
        <v>2.5579538487363607E-13</v>
      </c>
      <c r="L240" s="658">
        <f>AP182</f>
        <v>1371.2430092423085</v>
      </c>
      <c r="M240" s="631">
        <f>AR182-SUM(M228:M239)</f>
        <v>1258.6382169792505</v>
      </c>
      <c r="N240" s="565">
        <f t="shared" si="117"/>
        <v>789.99999999999795</v>
      </c>
      <c r="O240" s="566">
        <f t="shared" si="114"/>
        <v>1371.2430092423085</v>
      </c>
      <c r="P240" s="567">
        <f t="shared" si="115"/>
        <v>1.9895196601282805E-13</v>
      </c>
      <c r="Q240" s="568"/>
    </row>
    <row r="241" spans="2:46" s="148" customFormat="1" ht="30.6">
      <c r="B241" s="153" t="s">
        <v>46</v>
      </c>
      <c r="C241" s="391">
        <f>H240</f>
        <v>789.99999999999818</v>
      </c>
      <c r="D241" s="392"/>
      <c r="E241" s="633"/>
      <c r="F241" s="393"/>
      <c r="G241" s="394"/>
      <c r="H241" s="587"/>
      <c r="I241" s="588"/>
      <c r="J241" s="660"/>
      <c r="K241" s="395"/>
      <c r="L241" s="661"/>
      <c r="M241" s="590"/>
      <c r="N241" s="414"/>
      <c r="O241" s="566">
        <f t="shared" si="114"/>
        <v>0</v>
      </c>
      <c r="P241" s="396"/>
      <c r="Q241" s="568"/>
    </row>
    <row r="242" spans="2:46" s="148" customFormat="1" ht="17.399999999999999">
      <c r="B242" s="373" t="s">
        <v>48</v>
      </c>
      <c r="C242" s="591">
        <f t="shared" ref="C242:J242" si="124">SUM(C228:C241)</f>
        <v>1579.9999999999982</v>
      </c>
      <c r="D242" s="592">
        <f t="shared" si="124"/>
        <v>16723.189135145996</v>
      </c>
      <c r="E242" s="592">
        <f t="shared" si="124"/>
        <v>6068.7809231053971</v>
      </c>
      <c r="F242" s="449">
        <f t="shared" si="124"/>
        <v>9147.9874204818298</v>
      </c>
      <c r="G242" s="397">
        <f t="shared" si="124"/>
        <v>15216.768343587228</v>
      </c>
      <c r="H242" s="449">
        <f t="shared" si="124"/>
        <v>9147.9874204818279</v>
      </c>
      <c r="I242" s="662">
        <f t="shared" si="124"/>
        <v>1551.2368273825093</v>
      </c>
      <c r="J242" s="398">
        <f t="shared" si="124"/>
        <v>1551.2368273825091</v>
      </c>
      <c r="K242" s="376">
        <f>I242-J242</f>
        <v>0</v>
      </c>
      <c r="L242" s="399">
        <f>SUM(L228:L241)</f>
        <v>16723.189135145996</v>
      </c>
      <c r="M242" s="593">
        <f>SUM(M228:M241)</f>
        <v>16723.189135145996</v>
      </c>
      <c r="N242" s="400">
        <f>H242-K242</f>
        <v>9147.9874204818279</v>
      </c>
      <c r="O242" s="594">
        <f>SUM(O228:O241)</f>
        <v>16723.189135145996</v>
      </c>
      <c r="P242" s="399">
        <f>SUM(P228:P241)</f>
        <v>1.1368683772161603E-13</v>
      </c>
      <c r="Q242" s="568"/>
    </row>
    <row r="243" spans="2:46" ht="17.399999999999999">
      <c r="B243" s="323" t="s">
        <v>50</v>
      </c>
      <c r="C243" s="401"/>
      <c r="D243" s="392"/>
      <c r="E243" s="392"/>
      <c r="F243" s="392"/>
      <c r="G243" s="422"/>
      <c r="H243" s="392"/>
      <c r="I243" s="391"/>
      <c r="J243" s="596"/>
      <c r="K243" s="392"/>
      <c r="L243" s="402"/>
      <c r="M243" s="597"/>
      <c r="N243" s="414"/>
      <c r="O243" s="392">
        <f>F228</f>
        <v>790</v>
      </c>
      <c r="P243" s="396"/>
      <c r="Q243" s="568"/>
      <c r="AR243" s="40"/>
      <c r="AS243" s="40"/>
      <c r="AT243" s="40"/>
    </row>
    <row r="244" spans="2:46" ht="15.6">
      <c r="B244" s="407" t="s">
        <v>53</v>
      </c>
      <c r="C244" s="401"/>
      <c r="D244" s="392"/>
      <c r="E244" s="392"/>
      <c r="F244" s="392"/>
      <c r="G244" s="422"/>
      <c r="H244" s="392"/>
      <c r="I244" s="391"/>
      <c r="J244" s="596"/>
      <c r="K244" s="392"/>
      <c r="L244" s="402"/>
      <c r="M244" s="422"/>
      <c r="N244" s="414"/>
      <c r="O244" s="403">
        <f>C241</f>
        <v>789.99999999999818</v>
      </c>
      <c r="P244" s="396"/>
      <c r="Q244" s="568"/>
      <c r="AR244" s="40"/>
      <c r="AS244" s="40"/>
      <c r="AT244" s="40"/>
    </row>
    <row r="245" spans="2:46" ht="53.25" customHeight="1">
      <c r="Q245" s="568"/>
      <c r="AR245" s="40"/>
      <c r="AS245" s="40"/>
      <c r="AT245" s="40"/>
    </row>
    <row r="246" spans="2:46" ht="15.6">
      <c r="B246" s="35"/>
      <c r="C246" s="35"/>
      <c r="D246" s="35"/>
      <c r="E246" s="35"/>
      <c r="F246" s="35"/>
      <c r="G246" s="35"/>
      <c r="H246" s="35"/>
      <c r="I246" s="35"/>
      <c r="J246"/>
      <c r="K246" s="18"/>
      <c r="L246" s="35"/>
      <c r="M246"/>
      <c r="N246" s="18"/>
      <c r="Q246" s="595"/>
      <c r="AR246" s="40"/>
      <c r="AS246" s="40"/>
      <c r="AT246" s="40"/>
    </row>
    <row r="247" spans="2:46" ht="24.6">
      <c r="B247" s="18"/>
      <c r="C247" s="668"/>
      <c r="D247" s="18"/>
      <c r="E247" s="18"/>
      <c r="F247" s="18"/>
      <c r="G247" s="18"/>
      <c r="H247" s="700"/>
      <c r="I247" s="700"/>
      <c r="J247" s="125"/>
      <c r="K247" s="700"/>
      <c r="L247" s="700"/>
      <c r="M247" s="125"/>
      <c r="N247" s="700"/>
      <c r="O247" s="48"/>
      <c r="Q247" s="568"/>
      <c r="AR247" s="40"/>
      <c r="AS247" s="40"/>
      <c r="AT247" s="40"/>
    </row>
    <row r="248" spans="2:46" ht="28.8">
      <c r="C248" s="702" t="s">
        <v>684</v>
      </c>
      <c r="H248" s="48"/>
      <c r="I248" s="48"/>
      <c r="J248" s="701"/>
      <c r="K248" s="701"/>
      <c r="L248" s="45"/>
      <c r="M248" s="48"/>
      <c r="N248" s="48"/>
      <c r="O248" s="48"/>
      <c r="R248" s="672"/>
    </row>
    <row r="249" spans="2:46" ht="39" customHeight="1">
      <c r="B249" s="693"/>
      <c r="C249" s="693"/>
      <c r="D249" s="693"/>
      <c r="E249" s="678"/>
      <c r="F249" s="678"/>
      <c r="G249" s="1015" t="s">
        <v>683</v>
      </c>
      <c r="H249" s="1016"/>
      <c r="I249" s="1016"/>
      <c r="J249" s="1016"/>
      <c r="K249" s="1016"/>
      <c r="L249" s="1016"/>
      <c r="M249" s="1016"/>
      <c r="N249" s="1016"/>
      <c r="O249" s="1017"/>
      <c r="P249" s="669"/>
      <c r="Q249" s="671"/>
      <c r="R249" s="665"/>
    </row>
    <row r="250" spans="2:46" ht="138">
      <c r="B250" s="693" t="s">
        <v>229</v>
      </c>
      <c r="C250" s="693" t="s">
        <v>84</v>
      </c>
      <c r="D250" s="693" t="s">
        <v>679</v>
      </c>
      <c r="E250" s="693" t="s">
        <v>678</v>
      </c>
      <c r="F250" s="679" t="s">
        <v>674</v>
      </c>
      <c r="G250" s="693" t="s">
        <v>111</v>
      </c>
      <c r="H250" s="693" t="s">
        <v>112</v>
      </c>
      <c r="I250" s="693" t="s">
        <v>233</v>
      </c>
      <c r="J250" s="694" t="s">
        <v>110</v>
      </c>
      <c r="K250" s="695" t="s">
        <v>677</v>
      </c>
      <c r="L250" s="679" t="s">
        <v>682</v>
      </c>
      <c r="M250" s="693" t="s">
        <v>676</v>
      </c>
      <c r="N250" s="696" t="s">
        <v>681</v>
      </c>
      <c r="O250" s="693" t="s">
        <v>680</v>
      </c>
      <c r="P250" s="669" t="s">
        <v>675</v>
      </c>
      <c r="Q250" s="672"/>
      <c r="R250" s="665"/>
    </row>
    <row r="251" spans="2:46">
      <c r="B251" s="697">
        <v>2</v>
      </c>
      <c r="C251" s="697">
        <v>3</v>
      </c>
      <c r="D251" s="697">
        <v>4</v>
      </c>
      <c r="E251" s="678"/>
      <c r="F251" s="678"/>
      <c r="G251" s="697">
        <v>5</v>
      </c>
      <c r="H251" s="697">
        <v>8</v>
      </c>
      <c r="I251" s="697">
        <v>6</v>
      </c>
      <c r="J251" s="694"/>
      <c r="K251" s="697">
        <v>7</v>
      </c>
      <c r="L251" s="678"/>
      <c r="M251" s="697">
        <v>9</v>
      </c>
      <c r="N251" s="694">
        <v>11</v>
      </c>
      <c r="O251" s="697">
        <v>10</v>
      </c>
      <c r="P251" s="669"/>
      <c r="Q251" s="671"/>
      <c r="R251" s="665"/>
    </row>
    <row r="252" spans="2:46" ht="40.799999999999997">
      <c r="B252" s="698" t="str">
        <f>C15</f>
        <v>Административно-управленческий персонал</v>
      </c>
      <c r="C252" s="685">
        <v>8</v>
      </c>
      <c r="D252" s="691">
        <v>45000</v>
      </c>
      <c r="E252" s="676">
        <f>O252/C252/12</f>
        <v>50443.452455276456</v>
      </c>
      <c r="F252" s="681">
        <f t="shared" ref="F252:F255" si="125">E252/D252*100</f>
        <v>112.09656101172544</v>
      </c>
      <c r="G252" s="676">
        <f>S34*12</f>
        <v>2557050</v>
      </c>
      <c r="H252" s="676">
        <f>R34*12</f>
        <v>0</v>
      </c>
      <c r="I252" s="676">
        <f>AE34*12</f>
        <v>130518.72</v>
      </c>
      <c r="J252" s="676">
        <f>G252+I252</f>
        <v>2687568.72</v>
      </c>
      <c r="K252" s="681">
        <f>O252-J252-M252-N252</f>
        <v>974602.66261834977</v>
      </c>
      <c r="L252" s="681">
        <f>K252/O252*100</f>
        <v>20.125726084950433</v>
      </c>
      <c r="M252" s="685">
        <f>M255/O255*O252</f>
        <v>990596.99332934618</v>
      </c>
      <c r="N252" s="685">
        <f>N255/C255*C252</f>
        <v>189803.05975884388</v>
      </c>
      <c r="O252" s="692">
        <f>C252*D252*F$255*12/100</f>
        <v>4842571.43570654</v>
      </c>
      <c r="P252" s="677"/>
      <c r="Q252" s="671"/>
      <c r="R252" s="665"/>
    </row>
    <row r="253" spans="2:46" ht="40.799999999999997">
      <c r="B253" s="698" t="str">
        <f>C83</f>
        <v>Учебно-вспомогательный персонал</v>
      </c>
      <c r="C253" s="685">
        <v>28</v>
      </c>
      <c r="D253" s="691">
        <v>20000</v>
      </c>
      <c r="E253" s="676">
        <f>O253/C253/12</f>
        <v>22419.312202345096</v>
      </c>
      <c r="F253" s="681">
        <f t="shared" si="125"/>
        <v>112.09656101172547</v>
      </c>
      <c r="G253" s="676">
        <f>S115*12</f>
        <v>1297164</v>
      </c>
      <c r="H253" s="676">
        <f>R115*12</f>
        <v>0</v>
      </c>
      <c r="I253" s="676">
        <f>AE115*12</f>
        <v>85534.56</v>
      </c>
      <c r="J253" s="676">
        <f>G253+I253</f>
        <v>1382698.56</v>
      </c>
      <c r="K253" s="681">
        <f>O253-J253-M253-N253</f>
        <v>3944950.9745419044</v>
      </c>
      <c r="L253" s="681">
        <f t="shared" ref="L253:L259" si="126">K253/O253*100</f>
        <v>52.369695437141175</v>
      </c>
      <c r="M253" s="685">
        <f>M255/O255*O253</f>
        <v>1540928.6562900941</v>
      </c>
      <c r="N253" s="685">
        <f>N255/C255*C253</f>
        <v>664310.70915595361</v>
      </c>
      <c r="O253" s="692">
        <f>C253*D253*F$255*12/100</f>
        <v>7532888.8999879519</v>
      </c>
      <c r="P253" s="677"/>
      <c r="Q253" s="671"/>
      <c r="R253" s="665"/>
    </row>
    <row r="254" spans="2:46" ht="27.6">
      <c r="B254" s="698" t="str">
        <f>C116</f>
        <v>Обслуживающий персонал</v>
      </c>
      <c r="C254" s="675">
        <f>C255-C252-C253</f>
        <v>29.383006126600833</v>
      </c>
      <c r="D254" s="691">
        <v>11000</v>
      </c>
      <c r="E254" s="676">
        <f>O254/C254/12</f>
        <v>12330.621711289794</v>
      </c>
      <c r="F254" s="681">
        <f t="shared" si="125"/>
        <v>112.0965610117254</v>
      </c>
      <c r="G254" s="676">
        <f>S144*12</f>
        <v>1868856</v>
      </c>
      <c r="H254" s="676">
        <f>R144*12</f>
        <v>0</v>
      </c>
      <c r="I254" s="676">
        <f>AE144*12</f>
        <v>376796.63999999996</v>
      </c>
      <c r="J254" s="676">
        <f>G254+I254</f>
        <v>2245652.64</v>
      </c>
      <c r="K254" s="675">
        <f t="shared" ref="K254" si="127">K255-K252-K253</f>
        <v>515581.17663970031</v>
      </c>
      <c r="L254" s="681">
        <f t="shared" si="126"/>
        <v>11.858632412967998</v>
      </c>
      <c r="M254" s="675">
        <f>M255-M252-M253</f>
        <v>889371.92434409377</v>
      </c>
      <c r="N254" s="675">
        <f>N255-N252-N253</f>
        <v>697123.05846771167</v>
      </c>
      <c r="O254" s="675">
        <f>O255-O252-O253</f>
        <v>4347728.799451503</v>
      </c>
      <c r="P254" s="677"/>
      <c r="Q254" s="671"/>
      <c r="R254" s="665"/>
    </row>
    <row r="255" spans="2:46" ht="31.8">
      <c r="B255" s="699" t="s">
        <v>107</v>
      </c>
      <c r="C255" s="676">
        <f>G173</f>
        <v>65.383006126600833</v>
      </c>
      <c r="D255" s="684">
        <f>(C252*D252+C253*D253+C254*D254)/C255</f>
        <v>19014.314896830852</v>
      </c>
      <c r="E255" s="676">
        <f>O255/C255/12</f>
        <v>21314.393099287601</v>
      </c>
      <c r="F255" s="681">
        <f t="shared" si="125"/>
        <v>112.09656101172547</v>
      </c>
      <c r="G255" s="676">
        <f>SUM(G252:G254)</f>
        <v>5723070</v>
      </c>
      <c r="H255" s="676">
        <f>SUM(H252:H254)</f>
        <v>0</v>
      </c>
      <c r="I255" s="676">
        <f>SUM(I252:I254)</f>
        <v>592849.91999999993</v>
      </c>
      <c r="J255" s="676">
        <f>SUM(J252:J254)</f>
        <v>6315919.9199999999</v>
      </c>
      <c r="K255" s="681">
        <f>T204*1000</f>
        <v>5435134.813799954</v>
      </c>
      <c r="L255" s="681">
        <f t="shared" si="126"/>
        <v>32.500588074898339</v>
      </c>
      <c r="M255" s="681">
        <f>T221*1000</f>
        <v>3420897.5739635341</v>
      </c>
      <c r="N255" s="681">
        <f>T222*1000</f>
        <v>1551236.8273825091</v>
      </c>
      <c r="O255" s="676">
        <f>J255+K255+M255+N255</f>
        <v>16723189.135145996</v>
      </c>
      <c r="P255" s="677">
        <f>SUM(P252:P254)</f>
        <v>0</v>
      </c>
      <c r="Q255" s="673"/>
      <c r="R255" s="665"/>
    </row>
    <row r="256" spans="2:46" ht="80.400000000000006">
      <c r="B256" s="698" t="str">
        <f>C35</f>
        <v>Основной Педагогический персонал,осуществляющий учебный процесс (по Указам)</v>
      </c>
      <c r="C256" s="676">
        <f>G168</f>
        <v>65.616207090602146</v>
      </c>
      <c r="D256" s="683">
        <v>26882</v>
      </c>
      <c r="E256" s="676">
        <f>E164</f>
        <v>27772.29</v>
      </c>
      <c r="F256" s="681">
        <f>E256/D256*100</f>
        <v>103.31184435681868</v>
      </c>
      <c r="G256" s="676">
        <f>S70*12</f>
        <v>9285164.0999999996</v>
      </c>
      <c r="H256" s="676">
        <f>R70*12</f>
        <v>0</v>
      </c>
      <c r="I256" s="676">
        <f>AE70*12</f>
        <v>1285043.6400000001</v>
      </c>
      <c r="J256" s="676">
        <f>G256+I256</f>
        <v>10570207.74</v>
      </c>
      <c r="K256" s="681">
        <f>O256-J256-M256-N256</f>
        <v>3701765.9191818614</v>
      </c>
      <c r="L256" s="681">
        <f t="shared" si="126"/>
        <v>16.927970460649096</v>
      </c>
      <c r="M256" s="676">
        <f>M258-M257</f>
        <v>4194116.8796136025</v>
      </c>
      <c r="N256" s="676">
        <f>N258-N257</f>
        <v>3401657.4454476456</v>
      </c>
      <c r="O256" s="676">
        <f>IF(P$258=O$258,P256,0)</f>
        <v>21867747.98424311</v>
      </c>
      <c r="P256" s="677">
        <f>C256*E256*12</f>
        <v>21867747.98424311</v>
      </c>
      <c r="Q256" s="671"/>
      <c r="R256" s="665"/>
    </row>
    <row r="257" spans="2:18" ht="80.400000000000006">
      <c r="B257" s="698" t="str">
        <f>C71</f>
        <v>Педагогический персонал  (не осуществляющий учебный процесс), не входящий в Указ</v>
      </c>
      <c r="C257" s="676">
        <f>G169</f>
        <v>5</v>
      </c>
      <c r="D257" s="686">
        <f>E166</f>
        <v>20752.490567986821</v>
      </c>
      <c r="E257" s="676">
        <f>E166</f>
        <v>20752.490567986821</v>
      </c>
      <c r="F257" s="681">
        <f t="shared" ref="F257:F259" si="128">E257/D257*100</f>
        <v>100</v>
      </c>
      <c r="G257" s="676">
        <f>S82*12</f>
        <v>597294</v>
      </c>
      <c r="H257" s="676">
        <f>R82*12</f>
        <v>0</v>
      </c>
      <c r="I257" s="676">
        <f>AE82*12</f>
        <v>62236.55999999999</v>
      </c>
      <c r="J257" s="676">
        <f>G257+I257</f>
        <v>659530.55999999994</v>
      </c>
      <c r="K257" s="681">
        <f>O257-J257-M257-N257</f>
        <v>87597.253823750041</v>
      </c>
      <c r="L257" s="681">
        <f t="shared" si="126"/>
        <v>7.0350795997854183</v>
      </c>
      <c r="M257" s="676">
        <f>M258/O258*O257</f>
        <v>238812.98901358692</v>
      </c>
      <c r="N257" s="676">
        <f>N258/C258*C257</f>
        <v>259208.63124187247</v>
      </c>
      <c r="O257" s="676">
        <f>IF(P$258=O$258,P257,0)</f>
        <v>1245149.4340792093</v>
      </c>
      <c r="P257" s="677">
        <f>C257*E257*12</f>
        <v>1245149.4340792093</v>
      </c>
      <c r="Q257" s="674"/>
      <c r="R257" s="665"/>
    </row>
    <row r="258" spans="2:18" ht="31.8">
      <c r="B258" s="699" t="s">
        <v>82</v>
      </c>
      <c r="C258" s="676">
        <f>G170</f>
        <v>70.616207090602146</v>
      </c>
      <c r="D258" s="687">
        <f>(C256*D256+C257*D257)/C258</f>
        <v>26447.998395796811</v>
      </c>
      <c r="E258" s="682">
        <f>O258/C258/12</f>
        <v>27275.251167044367</v>
      </c>
      <c r="F258" s="681">
        <f t="shared" si="128"/>
        <v>103.12784642099429</v>
      </c>
      <c r="G258" s="676">
        <f>SUM(G256:G257)</f>
        <v>9882458.0999999996</v>
      </c>
      <c r="H258" s="676">
        <f>SUM(H256:H257)</f>
        <v>0</v>
      </c>
      <c r="I258" s="676">
        <f>SUM(I256:I257)</f>
        <v>1347280.2000000002</v>
      </c>
      <c r="J258" s="676">
        <f>SUM(J256:J257)</f>
        <v>11229738.300000001</v>
      </c>
      <c r="K258" s="681">
        <f>S204*1000</f>
        <v>3789363.1730056093</v>
      </c>
      <c r="L258" s="681">
        <f t="shared" si="126"/>
        <v>16.395015754284717</v>
      </c>
      <c r="M258" s="681">
        <f>S221*1000</f>
        <v>4432929.8686271897</v>
      </c>
      <c r="N258" s="681">
        <f>S222*1000</f>
        <v>3660866.0766895181</v>
      </c>
      <c r="O258" s="676">
        <f>J258+K258+M258+N258</f>
        <v>23112897.418322317</v>
      </c>
      <c r="P258" s="677">
        <f>SUM(P256:P257)</f>
        <v>23112897.418322317</v>
      </c>
      <c r="Q258" s="673"/>
      <c r="R258" s="665"/>
    </row>
    <row r="259" spans="2:18" ht="31.8">
      <c r="B259" s="699" t="s">
        <v>83</v>
      </c>
      <c r="C259" s="676">
        <f>C255+C258</f>
        <v>135.99921321720296</v>
      </c>
      <c r="D259" s="688">
        <f>(C255*D255+C258*D258)/C259</f>
        <v>22874.179384212839</v>
      </c>
      <c r="E259" s="682">
        <f>O259/C259/12</f>
        <v>24409.507973798904</v>
      </c>
      <c r="F259" s="681">
        <f t="shared" si="128"/>
        <v>106.71205975872388</v>
      </c>
      <c r="G259" s="676">
        <f t="shared" ref="G259:K259" si="129">G255+G258</f>
        <v>15605528.1</v>
      </c>
      <c r="H259" s="676">
        <f t="shared" si="129"/>
        <v>0</v>
      </c>
      <c r="I259" s="676">
        <f t="shared" si="129"/>
        <v>1940130.12</v>
      </c>
      <c r="J259" s="676">
        <f t="shared" si="129"/>
        <v>17545658.219999999</v>
      </c>
      <c r="K259" s="676">
        <f t="shared" si="129"/>
        <v>9224497.9868055638</v>
      </c>
      <c r="L259" s="681">
        <f t="shared" si="126"/>
        <v>23.156135014478313</v>
      </c>
      <c r="M259" s="676">
        <f>M255+M258</f>
        <v>7853827.4425907237</v>
      </c>
      <c r="N259" s="676">
        <f>N255+N258</f>
        <v>5212102.9040720277</v>
      </c>
      <c r="O259" s="676">
        <f>J259+K259+M259+N259</f>
        <v>39836086.553468317</v>
      </c>
      <c r="P259" s="677"/>
      <c r="Q259" s="671"/>
      <c r="R259" s="665"/>
    </row>
    <row r="260" spans="2:18" ht="18">
      <c r="B260" s="663" t="s">
        <v>85</v>
      </c>
      <c r="C260" s="689">
        <f>C259-G167</f>
        <v>0</v>
      </c>
      <c r="D260" s="670"/>
      <c r="E260" s="680"/>
      <c r="F260" s="680"/>
      <c r="G260" s="690">
        <f>S145*12-G259</f>
        <v>0</v>
      </c>
      <c r="H260" s="690">
        <f>R145*12-H259</f>
        <v>0</v>
      </c>
      <c r="I260" s="690">
        <f>AE145*12-I259</f>
        <v>0</v>
      </c>
      <c r="J260" s="690">
        <f>J255+J258-J259</f>
        <v>0</v>
      </c>
      <c r="K260" s="690">
        <f>U204*1000-K259</f>
        <v>0</v>
      </c>
      <c r="L260" s="681"/>
      <c r="M260" s="690">
        <f>U221*1000-M259</f>
        <v>0</v>
      </c>
      <c r="N260" s="690">
        <f>U222*1000-N259</f>
        <v>0</v>
      </c>
      <c r="O260" s="690">
        <f>U219*1000-O259</f>
        <v>0</v>
      </c>
      <c r="P260" s="685"/>
      <c r="Q260" s="671"/>
      <c r="R260" s="665"/>
    </row>
    <row r="261" spans="2:18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22"/>
      <c r="M261"/>
      <c r="N261" s="18"/>
    </row>
    <row r="262" spans="2:18" ht="17.399999999999999">
      <c r="B262" s="34"/>
      <c r="C262" s="34"/>
      <c r="D262" s="34"/>
      <c r="E262" s="18"/>
      <c r="F262" s="34"/>
      <c r="G262" s="34"/>
      <c r="H262" s="34"/>
      <c r="I262" s="34"/>
      <c r="J262" s="18"/>
      <c r="K262" s="18"/>
      <c r="L262" s="23"/>
      <c r="M262"/>
      <c r="N262" s="18"/>
    </row>
  </sheetData>
  <mergeCells count="73">
    <mergeCell ref="G249:O249"/>
    <mergeCell ref="AZ195:BA195"/>
    <mergeCell ref="L188:O188"/>
    <mergeCell ref="L189:O189"/>
    <mergeCell ref="L190:O190"/>
    <mergeCell ref="R191:U191"/>
    <mergeCell ref="V191:X191"/>
    <mergeCell ref="AW195:AY195"/>
    <mergeCell ref="AZ167:BA167"/>
    <mergeCell ref="L168:O168"/>
    <mergeCell ref="L169:O169"/>
    <mergeCell ref="L170:O170"/>
    <mergeCell ref="L174:O174"/>
    <mergeCell ref="L167:O167"/>
    <mergeCell ref="AW167:AY167"/>
    <mergeCell ref="L173:O173"/>
    <mergeCell ref="AV187:AW187"/>
    <mergeCell ref="L177:O177"/>
    <mergeCell ref="L178:O178"/>
    <mergeCell ref="L179:O179"/>
    <mergeCell ref="L180:O180"/>
    <mergeCell ref="L181:O181"/>
    <mergeCell ref="L182:O182"/>
    <mergeCell ref="L183:O183"/>
    <mergeCell ref="L184:O184"/>
    <mergeCell ref="L185:O185"/>
    <mergeCell ref="L187:O187"/>
    <mergeCell ref="L186:O186"/>
    <mergeCell ref="L176:O176"/>
    <mergeCell ref="AW161:AX161"/>
    <mergeCell ref="L162:O162"/>
    <mergeCell ref="L163:O163"/>
    <mergeCell ref="L164:O164"/>
    <mergeCell ref="L166:O166"/>
    <mergeCell ref="L175:O175"/>
    <mergeCell ref="L172:O172"/>
    <mergeCell ref="L165:O165"/>
    <mergeCell ref="L171:O171"/>
    <mergeCell ref="J160:J161"/>
    <mergeCell ref="L160:O160"/>
    <mergeCell ref="L161:O161"/>
    <mergeCell ref="L156:O156"/>
    <mergeCell ref="L157:O157"/>
    <mergeCell ref="L158:O158"/>
    <mergeCell ref="L159:O159"/>
    <mergeCell ref="AG10:AG13"/>
    <mergeCell ref="L12:M12"/>
    <mergeCell ref="N12:O12"/>
    <mergeCell ref="T12:U12"/>
    <mergeCell ref="V12:V13"/>
    <mergeCell ref="L155:O155"/>
    <mergeCell ref="Q10:R12"/>
    <mergeCell ref="S10:S13"/>
    <mergeCell ref="T10:AE11"/>
    <mergeCell ref="X12:Y12"/>
    <mergeCell ref="E3:F3"/>
    <mergeCell ref="Z12:AA12"/>
    <mergeCell ref="L10:O11"/>
    <mergeCell ref="AD12:AD13"/>
    <mergeCell ref="AE12:AE13"/>
    <mergeCell ref="W12:W13"/>
    <mergeCell ref="G10:G13"/>
    <mergeCell ref="H10:H13"/>
    <mergeCell ref="I10:I13"/>
    <mergeCell ref="B10:B13"/>
    <mergeCell ref="C10:C13"/>
    <mergeCell ref="E10:E13"/>
    <mergeCell ref="F10:F13"/>
    <mergeCell ref="AF10:AF13"/>
    <mergeCell ref="P10:P13"/>
    <mergeCell ref="AB12:AC12"/>
    <mergeCell ref="J10:J13"/>
    <mergeCell ref="K10:K13"/>
  </mergeCells>
  <phoneticPr fontId="0" type="noConversion"/>
  <pageMargins left="0.7" right="0.7" top="0.75" bottom="0.75" header="0.3" footer="0.3"/>
  <pageSetup paperSize="9" scale="1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:K23"/>
    </sheetView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N28"/>
  <sheetViews>
    <sheetView topLeftCell="A7" workbookViewId="0">
      <selection activeCell="A8" sqref="A8:H8"/>
    </sheetView>
  </sheetViews>
  <sheetFormatPr defaultColWidth="9.109375" defaultRowHeight="14.4"/>
  <cols>
    <col min="1" max="1" width="8" style="18" customWidth="1"/>
    <col min="2" max="2" width="24.44140625" style="18" customWidth="1"/>
    <col min="3" max="3" width="10.6640625" style="18" customWidth="1"/>
    <col min="4" max="4" width="9" style="18" customWidth="1"/>
    <col min="5" max="5" width="7.88671875" style="18" customWidth="1"/>
    <col min="6" max="6" width="16.44140625" style="18" customWidth="1"/>
    <col min="7" max="7" width="18.44140625" style="18" customWidth="1"/>
    <col min="8" max="8" width="17.88671875" style="18" customWidth="1"/>
    <col min="9" max="9" width="14.33203125" style="18" customWidth="1"/>
    <col min="10" max="10" width="8.88671875"/>
    <col min="11" max="11" width="9.109375" style="18"/>
    <col min="12" max="12" width="17.6640625" style="18" customWidth="1"/>
    <col min="13" max="13" width="14.44140625" customWidth="1"/>
    <col min="14" max="16384" width="9.109375" style="18"/>
  </cols>
  <sheetData>
    <row r="4" spans="1:13" ht="15" customHeight="1">
      <c r="A4" s="917" t="s">
        <v>376</v>
      </c>
      <c r="B4" s="917"/>
      <c r="C4" s="917"/>
      <c r="D4" s="917"/>
      <c r="E4" s="917"/>
      <c r="F4" s="917"/>
      <c r="G4" s="917"/>
      <c r="H4" s="917"/>
      <c r="I4" s="917"/>
      <c r="L4" s="35"/>
    </row>
    <row r="5" spans="1:13" ht="15" customHeight="1">
      <c r="A5" s="917" t="s">
        <v>244</v>
      </c>
      <c r="B5" s="917"/>
      <c r="C5" s="917"/>
      <c r="D5" s="917"/>
      <c r="E5" s="917"/>
      <c r="F5" s="917"/>
      <c r="G5" s="917"/>
      <c r="H5" s="917"/>
      <c r="I5" s="35"/>
      <c r="L5" s="35"/>
    </row>
    <row r="6" spans="1:13" ht="15" customHeight="1">
      <c r="A6" s="918" t="s">
        <v>243</v>
      </c>
      <c r="B6" s="918"/>
      <c r="C6" s="918"/>
      <c r="D6" s="918"/>
      <c r="E6" s="918"/>
      <c r="F6" s="918"/>
      <c r="G6" s="918"/>
      <c r="H6" s="918"/>
      <c r="I6" s="36"/>
      <c r="L6" s="36"/>
    </row>
    <row r="8" spans="1:13" ht="15" customHeight="1">
      <c r="A8" s="919" t="s">
        <v>377</v>
      </c>
      <c r="B8" s="919"/>
      <c r="C8" s="919"/>
      <c r="D8" s="919"/>
      <c r="E8" s="919"/>
      <c r="F8" s="919"/>
      <c r="G8" s="919"/>
      <c r="H8" s="919"/>
      <c r="I8" s="37"/>
      <c r="L8" s="37"/>
    </row>
    <row r="10" spans="1:13" ht="15" customHeight="1">
      <c r="A10" s="918" t="s">
        <v>242</v>
      </c>
      <c r="B10" s="918"/>
      <c r="C10" s="918"/>
      <c r="D10" s="918"/>
      <c r="E10" s="918"/>
      <c r="F10" s="918"/>
      <c r="G10" s="918"/>
      <c r="H10" s="35"/>
      <c r="I10" s="35"/>
      <c r="L10" s="35"/>
    </row>
    <row r="12" spans="1:13" ht="15" customHeight="1">
      <c r="A12" s="33" t="s">
        <v>228</v>
      </c>
      <c r="B12" s="33" t="s">
        <v>229</v>
      </c>
      <c r="C12" s="33" t="s">
        <v>230</v>
      </c>
      <c r="D12" s="33" t="s">
        <v>236</v>
      </c>
      <c r="E12" s="33" t="s">
        <v>112</v>
      </c>
      <c r="F12" s="33"/>
      <c r="G12" s="33"/>
      <c r="H12" s="29"/>
      <c r="I12" s="33"/>
      <c r="K12" s="33" t="s">
        <v>238</v>
      </c>
      <c r="L12" s="30" t="s">
        <v>390</v>
      </c>
      <c r="M12" s="33" t="s">
        <v>239</v>
      </c>
    </row>
    <row r="13" spans="1:13">
      <c r="A13" s="33"/>
      <c r="B13" s="33"/>
      <c r="C13" s="33"/>
      <c r="D13" s="33" t="s">
        <v>231</v>
      </c>
      <c r="E13" s="33"/>
      <c r="F13" s="33" t="s">
        <v>235</v>
      </c>
      <c r="G13" s="33"/>
      <c r="H13" s="29"/>
      <c r="I13" s="33"/>
      <c r="K13" s="33"/>
      <c r="L13" s="31"/>
      <c r="M13" s="33"/>
    </row>
    <row r="14" spans="1:13" ht="46.5" customHeight="1">
      <c r="A14" s="33"/>
      <c r="B14" s="33"/>
      <c r="C14" s="33"/>
      <c r="D14" s="33"/>
      <c r="E14" s="33"/>
      <c r="F14" s="33" t="s">
        <v>111</v>
      </c>
      <c r="G14" s="33" t="s">
        <v>233</v>
      </c>
      <c r="H14" s="29" t="s">
        <v>110</v>
      </c>
      <c r="I14" s="33" t="s">
        <v>234</v>
      </c>
      <c r="K14" s="33"/>
      <c r="L14" s="32"/>
      <c r="M14" s="33"/>
    </row>
    <row r="15" spans="1:13" ht="12.75" customHeight="1">
      <c r="A15" s="19">
        <v>1</v>
      </c>
      <c r="B15" s="19">
        <v>2</v>
      </c>
      <c r="C15" s="19">
        <v>3</v>
      </c>
      <c r="D15" s="19">
        <v>4</v>
      </c>
      <c r="E15" s="19">
        <v>8</v>
      </c>
      <c r="F15" s="19">
        <v>5</v>
      </c>
      <c r="G15" s="19">
        <v>6</v>
      </c>
      <c r="H15" s="29"/>
      <c r="I15" s="19">
        <v>7</v>
      </c>
      <c r="K15" s="19">
        <v>9</v>
      </c>
      <c r="L15" s="29">
        <v>11</v>
      </c>
      <c r="M15" s="19">
        <v>10</v>
      </c>
    </row>
    <row r="16" spans="1:13" ht="39.75" customHeight="1">
      <c r="A16" s="29">
        <v>1</v>
      </c>
      <c r="B16" s="24" t="s">
        <v>379</v>
      </c>
      <c r="C16" s="29"/>
      <c r="D16" s="29"/>
      <c r="E16" s="20"/>
      <c r="F16" s="29"/>
      <c r="G16" s="29"/>
      <c r="H16" s="29"/>
      <c r="I16" s="29"/>
      <c r="K16" s="29"/>
      <c r="L16" s="29"/>
      <c r="M16" s="21"/>
    </row>
    <row r="17" spans="1:14" ht="26.4">
      <c r="A17" s="29">
        <v>4</v>
      </c>
      <c r="B17" s="24" t="s">
        <v>382</v>
      </c>
      <c r="C17" s="29"/>
      <c r="D17" s="29"/>
      <c r="E17" s="29"/>
      <c r="F17" s="29"/>
      <c r="G17" s="29"/>
      <c r="H17" s="29"/>
      <c r="I17" s="29"/>
      <c r="J17" s="18"/>
      <c r="K17" s="29"/>
      <c r="L17" s="29"/>
      <c r="M17" s="21"/>
    </row>
    <row r="18" spans="1:14" ht="13.8">
      <c r="A18" s="29">
        <v>5</v>
      </c>
      <c r="B18" s="24" t="s">
        <v>383</v>
      </c>
      <c r="C18" s="29"/>
      <c r="D18" s="29"/>
      <c r="E18" s="29"/>
      <c r="F18" s="29"/>
      <c r="G18" s="29"/>
      <c r="H18" s="29"/>
      <c r="I18" s="29"/>
      <c r="J18" s="18"/>
      <c r="K18" s="29"/>
      <c r="L18" s="29"/>
      <c r="M18" s="21"/>
    </row>
    <row r="19" spans="1:14" s="26" customFormat="1" ht="18.75" customHeight="1">
      <c r="A19" s="28"/>
      <c r="B19" s="27" t="s">
        <v>107</v>
      </c>
      <c r="C19" s="457" t="e">
        <f>'ФЗП бюджет-допол'!#REF!</f>
        <v>#REF!</v>
      </c>
      <c r="D19" s="28"/>
      <c r="E19" s="28"/>
      <c r="F19" s="457" t="e">
        <f>'ФЗП бюджет-допол'!#REF!</f>
        <v>#REF!</v>
      </c>
      <c r="G19" s="457" t="e">
        <f>'ФЗП бюджет-допол'!#REF!</f>
        <v>#REF!</v>
      </c>
      <c r="H19" s="457" t="e">
        <f>F19+G19</f>
        <v>#REF!</v>
      </c>
      <c r="I19" s="457" t="e">
        <f>'ФЗП бюджет-допол'!#REF!</f>
        <v>#REF!</v>
      </c>
      <c r="K19" s="457" t="e">
        <f>'ФЗП бюджет-допол'!#REF!</f>
        <v>#REF!</v>
      </c>
      <c r="L19" s="457" t="e">
        <f>'ФЗП бюджет-допол'!#REF!</f>
        <v>#REF!</v>
      </c>
      <c r="M19" s="25"/>
      <c r="N19" s="458" t="e">
        <f>F19+G19+I19+K19+L19</f>
        <v>#REF!</v>
      </c>
    </row>
    <row r="20" spans="1:14" ht="51" customHeight="1">
      <c r="A20" s="29">
        <v>2</v>
      </c>
      <c r="B20" s="24" t="s">
        <v>380</v>
      </c>
      <c r="C20" s="29"/>
      <c r="D20" s="29"/>
      <c r="E20" s="29"/>
      <c r="F20" s="29"/>
      <c r="G20" s="29"/>
      <c r="H20" s="29"/>
      <c r="I20" s="29"/>
      <c r="J20" s="18"/>
      <c r="K20" s="29"/>
      <c r="L20" s="29"/>
      <c r="M20" s="21"/>
    </row>
    <row r="21" spans="1:14" ht="60.75" customHeight="1">
      <c r="A21" s="29">
        <v>3</v>
      </c>
      <c r="B21" s="24" t="s">
        <v>389</v>
      </c>
      <c r="C21" s="29"/>
      <c r="D21" s="29"/>
      <c r="E21" s="29"/>
      <c r="F21" s="29"/>
      <c r="G21" s="29"/>
      <c r="H21" s="29"/>
      <c r="I21" s="29"/>
      <c r="J21" s="18"/>
      <c r="K21" s="29"/>
      <c r="L21" s="29"/>
      <c r="M21" s="21"/>
    </row>
    <row r="22" spans="1:14" s="26" customFormat="1" ht="18.75" customHeight="1">
      <c r="A22" s="28"/>
      <c r="B22" s="27" t="s">
        <v>108</v>
      </c>
      <c r="C22" s="457" t="e">
        <f>'ФЗП бюджет-допол'!#REF!+'ФЗП бюджет-допол'!#REF!</f>
        <v>#REF!</v>
      </c>
      <c r="D22" s="28"/>
      <c r="E22" s="28"/>
      <c r="F22" s="457" t="e">
        <f>'ФЗП бюджет-допол'!#REF!</f>
        <v>#REF!</v>
      </c>
      <c r="G22" s="457" t="e">
        <f>'ФЗП бюджет-допол'!#REF!</f>
        <v>#REF!</v>
      </c>
      <c r="H22" s="457" t="e">
        <f>F22+G22</f>
        <v>#REF!</v>
      </c>
      <c r="I22" s="457" t="e">
        <f>'ФЗП бюджет-допол'!#REF!</f>
        <v>#REF!</v>
      </c>
      <c r="K22" s="457" t="e">
        <f>'ФЗП бюджет-допол'!#REF!</f>
        <v>#REF!</v>
      </c>
      <c r="L22" s="457" t="e">
        <f>'ФЗП бюджет-допол'!#REF!</f>
        <v>#REF!</v>
      </c>
      <c r="M22" s="25"/>
      <c r="N22" s="458" t="e">
        <f>F22+G22+I22+K22+L22</f>
        <v>#REF!</v>
      </c>
    </row>
    <row r="23" spans="1:14" s="26" customFormat="1" ht="18.75" customHeight="1">
      <c r="A23" s="28"/>
      <c r="B23" s="27" t="s">
        <v>109</v>
      </c>
      <c r="C23" s="457" t="e">
        <f>'ФЗП бюджет-допол'!#REF!</f>
        <v>#REF!</v>
      </c>
      <c r="D23" s="28"/>
      <c r="E23" s="28"/>
      <c r="F23" s="457" t="e">
        <f>'ФЗП бюджет-допол'!#REF!</f>
        <v>#REF!</v>
      </c>
      <c r="G23" s="457" t="e">
        <f>'ФЗП бюджет-допол'!#REF!</f>
        <v>#REF!</v>
      </c>
      <c r="H23" s="457" t="e">
        <f>H19+H22</f>
        <v>#REF!</v>
      </c>
      <c r="I23" s="457" t="e">
        <f>I19+I22</f>
        <v>#REF!</v>
      </c>
      <c r="K23" s="457" t="e">
        <f>K19+K22</f>
        <v>#REF!</v>
      </c>
      <c r="L23" s="457" t="e">
        <f>L19+L22</f>
        <v>#REF!</v>
      </c>
      <c r="M23" s="25" t="e">
        <f>'ФЗП бюджет-допол'!#REF!</f>
        <v>#REF!</v>
      </c>
      <c r="N23" s="458" t="e">
        <f>F23+G23+I23+K23+L23</f>
        <v>#REF!</v>
      </c>
    </row>
    <row r="24" spans="1:14" ht="39.6">
      <c r="A24" s="29">
        <v>6</v>
      </c>
      <c r="B24" s="24" t="s">
        <v>384</v>
      </c>
      <c r="C24" s="29"/>
      <c r="D24" s="29"/>
      <c r="E24" s="29"/>
      <c r="F24" s="29"/>
      <c r="G24" s="29"/>
      <c r="H24" s="29"/>
      <c r="I24" s="29"/>
      <c r="J24" s="18"/>
      <c r="K24" s="29"/>
      <c r="L24" s="29"/>
      <c r="M24" s="21" t="e">
        <f>'ФЗП бюджет-допол'!#REF!</f>
        <v>#REF!</v>
      </c>
    </row>
    <row r="25" spans="1:14" s="26" customFormat="1" ht="30" customHeight="1">
      <c r="A25" s="38" t="s">
        <v>388</v>
      </c>
      <c r="B25" s="39"/>
      <c r="C25" s="28">
        <f>SUM(C16:C18)</f>
        <v>0</v>
      </c>
      <c r="D25" s="28"/>
      <c r="E25" s="28" t="s">
        <v>241</v>
      </c>
      <c r="F25" s="28">
        <f>SUM(F16:F18)</f>
        <v>0</v>
      </c>
      <c r="G25" s="28">
        <f>SUM(G16:G18)</f>
        <v>0</v>
      </c>
      <c r="H25" s="28"/>
      <c r="I25" s="28">
        <f>SUM(I16:I18)</f>
        <v>0</v>
      </c>
      <c r="K25" s="28" t="s">
        <v>241</v>
      </c>
      <c r="L25" s="28"/>
      <c r="M25" s="25">
        <f>'[1]Штат-бюджет'!$G$160*1000</f>
        <v>41586086.553468317</v>
      </c>
    </row>
    <row r="26" spans="1:14">
      <c r="J26" s="18"/>
      <c r="L26" s="22"/>
    </row>
    <row r="27" spans="1:14" ht="39" customHeight="1">
      <c r="B27" s="34" t="s">
        <v>387</v>
      </c>
      <c r="C27" s="34"/>
      <c r="D27" s="34"/>
      <c r="F27" s="34"/>
      <c r="G27" s="34"/>
      <c r="H27" s="34"/>
      <c r="I27" s="34"/>
      <c r="J27" s="18"/>
      <c r="L27" s="23">
        <f>'[1]Штат-бюджет'!$G$159*1000</f>
        <v>640449.08401247661</v>
      </c>
    </row>
    <row r="28" spans="1:14">
      <c r="J28" s="18"/>
    </row>
  </sheetData>
  <mergeCells count="5">
    <mergeCell ref="A4:I4"/>
    <mergeCell ref="A5:H5"/>
    <mergeCell ref="A6:H6"/>
    <mergeCell ref="A8:H8"/>
    <mergeCell ref="A10:G10"/>
  </mergeCells>
  <phoneticPr fontId="0" type="noConversion"/>
  <pageMargins left="0.75" right="0.75" top="1" bottom="1" header="0.5" footer="0.5"/>
  <pageSetup paperSize="9" scale="4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J23"/>
  <sheetViews>
    <sheetView topLeftCell="A13" workbookViewId="0">
      <selection activeCell="J22" sqref="J22"/>
    </sheetView>
  </sheetViews>
  <sheetFormatPr defaultColWidth="9.109375" defaultRowHeight="14.4"/>
  <cols>
    <col min="1" max="1" width="4.109375" style="1" customWidth="1"/>
    <col min="2" max="2" width="21.6640625" style="1" customWidth="1"/>
    <col min="3" max="3" width="14.88671875" style="1" customWidth="1"/>
    <col min="4" max="4" width="9" style="1" customWidth="1"/>
    <col min="5" max="5" width="16.44140625" style="1" customWidth="1"/>
    <col min="6" max="6" width="18.44140625" style="1" customWidth="1"/>
    <col min="7" max="7" width="17.88671875" style="1" customWidth="1"/>
    <col min="8" max="8" width="14.33203125" style="1" customWidth="1"/>
    <col min="9" max="9" width="15.88671875" style="1" customWidth="1"/>
    <col min="10" max="10" width="17.6640625" style="1" customWidth="1"/>
    <col min="11" max="16384" width="9.109375" style="1"/>
  </cols>
  <sheetData>
    <row r="4" spans="1:10">
      <c r="A4" s="920" t="s">
        <v>376</v>
      </c>
      <c r="B4" s="920"/>
      <c r="C4" s="920"/>
      <c r="D4" s="920"/>
      <c r="E4" s="920"/>
      <c r="F4" s="920"/>
      <c r="G4" s="920"/>
      <c r="H4" s="920"/>
      <c r="I4" s="920"/>
      <c r="J4" s="920"/>
    </row>
    <row r="5" spans="1:10">
      <c r="A5" s="920" t="s">
        <v>244</v>
      </c>
      <c r="B5" s="920"/>
      <c r="C5" s="920"/>
      <c r="D5" s="920"/>
      <c r="E5" s="920"/>
      <c r="F5" s="920"/>
      <c r="G5" s="920"/>
      <c r="H5" s="920"/>
      <c r="I5" s="920"/>
      <c r="J5" s="920"/>
    </row>
    <row r="6" spans="1:10">
      <c r="A6" s="921" t="s">
        <v>243</v>
      </c>
      <c r="B6" s="921"/>
      <c r="C6" s="921"/>
      <c r="D6" s="921"/>
      <c r="E6" s="921"/>
      <c r="F6" s="921"/>
      <c r="G6" s="921"/>
      <c r="H6" s="921"/>
      <c r="I6" s="921"/>
      <c r="J6" s="921"/>
    </row>
    <row r="8" spans="1:10" ht="15" customHeight="1">
      <c r="A8" s="922" t="s">
        <v>378</v>
      </c>
      <c r="B8" s="922"/>
      <c r="C8" s="922"/>
      <c r="D8" s="922"/>
      <c r="E8" s="922"/>
      <c r="F8" s="922"/>
      <c r="G8" s="922"/>
      <c r="H8" s="922"/>
      <c r="I8" s="922"/>
      <c r="J8" s="922"/>
    </row>
    <row r="10" spans="1:10">
      <c r="A10" s="920" t="s">
        <v>242</v>
      </c>
      <c r="B10" s="920"/>
      <c r="C10" s="920"/>
      <c r="D10" s="920"/>
      <c r="E10" s="920"/>
      <c r="F10" s="920"/>
      <c r="G10" s="920"/>
      <c r="H10" s="920"/>
      <c r="I10" s="920"/>
      <c r="J10" s="920"/>
    </row>
    <row r="12" spans="1:10">
      <c r="A12" s="923" t="s">
        <v>228</v>
      </c>
      <c r="B12" s="923" t="s">
        <v>229</v>
      </c>
      <c r="C12" s="923" t="s">
        <v>230</v>
      </c>
      <c r="D12" s="923" t="s">
        <v>236</v>
      </c>
      <c r="E12" s="923"/>
      <c r="F12" s="923"/>
      <c r="G12" s="923"/>
      <c r="H12" s="923" t="s">
        <v>237</v>
      </c>
      <c r="I12" s="923" t="s">
        <v>238</v>
      </c>
      <c r="J12" s="923" t="s">
        <v>239</v>
      </c>
    </row>
    <row r="13" spans="1:10">
      <c r="A13" s="923"/>
      <c r="B13" s="923"/>
      <c r="C13" s="923"/>
      <c r="D13" s="923" t="s">
        <v>231</v>
      </c>
      <c r="E13" s="923" t="s">
        <v>235</v>
      </c>
      <c r="F13" s="923"/>
      <c r="G13" s="923"/>
      <c r="H13" s="923"/>
      <c r="I13" s="923"/>
      <c r="J13" s="923"/>
    </row>
    <row r="14" spans="1:10" ht="46.5" customHeight="1">
      <c r="A14" s="923"/>
      <c r="B14" s="923"/>
      <c r="C14" s="923"/>
      <c r="D14" s="923"/>
      <c r="E14" s="2" t="s">
        <v>232</v>
      </c>
      <c r="F14" s="2" t="s">
        <v>233</v>
      </c>
      <c r="G14" s="2" t="s">
        <v>234</v>
      </c>
      <c r="H14" s="923"/>
      <c r="I14" s="923"/>
      <c r="J14" s="923"/>
    </row>
    <row r="15" spans="1:10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43.2">
      <c r="A16" s="3">
        <v>1</v>
      </c>
      <c r="B16" s="3" t="s">
        <v>379</v>
      </c>
      <c r="C16" s="3"/>
      <c r="D16" s="3"/>
      <c r="E16" s="3"/>
      <c r="F16" s="3"/>
      <c r="G16" s="3"/>
      <c r="H16" s="3"/>
      <c r="I16" s="3"/>
      <c r="J16" s="16"/>
    </row>
    <row r="17" spans="1:10" ht="72">
      <c r="A17" s="3">
        <v>2</v>
      </c>
      <c r="B17" s="3" t="s">
        <v>380</v>
      </c>
      <c r="C17" s="3"/>
      <c r="D17" s="3"/>
      <c r="E17" s="3"/>
      <c r="F17" s="3"/>
      <c r="G17" s="3"/>
      <c r="H17" s="3"/>
      <c r="I17" s="3"/>
      <c r="J17" s="16"/>
    </row>
    <row r="18" spans="1:10" ht="72">
      <c r="A18" s="3">
        <v>3</v>
      </c>
      <c r="B18" s="3" t="s">
        <v>381</v>
      </c>
      <c r="C18" s="3"/>
      <c r="D18" s="3"/>
      <c r="E18" s="3"/>
      <c r="F18" s="3"/>
      <c r="G18" s="3"/>
      <c r="H18" s="3"/>
      <c r="I18" s="3"/>
      <c r="J18" s="16"/>
    </row>
    <row r="19" spans="1:10" ht="43.2">
      <c r="A19" s="3">
        <v>4</v>
      </c>
      <c r="B19" s="3" t="s">
        <v>382</v>
      </c>
      <c r="C19" s="3"/>
      <c r="D19" s="3"/>
      <c r="E19" s="3"/>
      <c r="F19" s="3"/>
      <c r="G19" s="3"/>
      <c r="H19" s="3"/>
      <c r="I19" s="3"/>
      <c r="J19" s="16"/>
    </row>
    <row r="20" spans="1:10" ht="28.8">
      <c r="A20" s="3">
        <v>5</v>
      </c>
      <c r="B20" s="3" t="s">
        <v>383</v>
      </c>
      <c r="C20" s="3"/>
      <c r="D20" s="3"/>
      <c r="E20" s="3"/>
      <c r="F20" s="3"/>
      <c r="G20" s="3"/>
      <c r="H20" s="3"/>
      <c r="I20" s="3"/>
      <c r="J20" s="16"/>
    </row>
    <row r="21" spans="1:10">
      <c r="A21" s="3"/>
      <c r="B21" s="3" t="s">
        <v>240</v>
      </c>
      <c r="C21" s="3"/>
      <c r="D21" s="3"/>
      <c r="E21" s="3"/>
      <c r="F21" s="3"/>
      <c r="G21" s="3"/>
      <c r="H21" s="3"/>
      <c r="I21" s="3"/>
      <c r="J21" s="16"/>
    </row>
    <row r="22" spans="1:10" ht="43.2">
      <c r="A22" s="3">
        <v>6</v>
      </c>
      <c r="B22" s="3" t="s">
        <v>384</v>
      </c>
      <c r="C22" s="3"/>
      <c r="D22" s="3"/>
      <c r="E22" s="3"/>
      <c r="F22" s="3"/>
      <c r="G22" s="3"/>
      <c r="H22" s="3"/>
      <c r="I22" s="3"/>
      <c r="J22" s="16">
        <f>'[1]Штат-бюджет'!$G$158*1000</f>
        <v>0</v>
      </c>
    </row>
    <row r="23" spans="1:10">
      <c r="A23" s="924" t="s">
        <v>240</v>
      </c>
      <c r="B23" s="925"/>
      <c r="C23" s="3" t="s">
        <v>241</v>
      </c>
      <c r="D23" s="3"/>
      <c r="E23" s="3" t="s">
        <v>241</v>
      </c>
      <c r="F23" s="3" t="s">
        <v>241</v>
      </c>
      <c r="G23" s="3" t="s">
        <v>241</v>
      </c>
      <c r="H23" s="3" t="s">
        <v>241</v>
      </c>
      <c r="I23" s="3" t="s">
        <v>241</v>
      </c>
      <c r="J23" s="16">
        <f>J21+J22</f>
        <v>0</v>
      </c>
    </row>
  </sheetData>
  <mergeCells count="15">
    <mergeCell ref="A23:B23"/>
    <mergeCell ref="A10:J10"/>
    <mergeCell ref="A12:A14"/>
    <mergeCell ref="B12:B14"/>
    <mergeCell ref="C12:C14"/>
    <mergeCell ref="D12:G12"/>
    <mergeCell ref="H12:H14"/>
    <mergeCell ref="I12:I14"/>
    <mergeCell ref="J12:J14"/>
    <mergeCell ref="D13:D14"/>
    <mergeCell ref="A4:J4"/>
    <mergeCell ref="A5:J5"/>
    <mergeCell ref="A6:J6"/>
    <mergeCell ref="A8:J8"/>
    <mergeCell ref="E13:G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1"/>
  <sheetViews>
    <sheetView topLeftCell="A10" workbookViewId="0">
      <selection activeCell="I24" sqref="I24"/>
    </sheetView>
  </sheetViews>
  <sheetFormatPr defaultColWidth="9.109375" defaultRowHeight="14.4"/>
  <cols>
    <col min="1" max="1" width="4.109375" style="1" customWidth="1"/>
    <col min="2" max="2" width="40.5546875" style="1" customWidth="1"/>
    <col min="3" max="3" width="8.88671875" style="1" customWidth="1"/>
    <col min="4" max="4" width="11.5546875" style="1" customWidth="1"/>
    <col min="5" max="5" width="13.44140625" style="1" customWidth="1"/>
    <col min="6" max="6" width="10.109375" style="1" customWidth="1"/>
    <col min="7" max="7" width="12" style="1" customWidth="1"/>
    <col min="8" max="8" width="8.6640625" style="1" customWidth="1"/>
    <col min="9" max="9" width="11.33203125" style="1" customWidth="1"/>
    <col min="10" max="10" width="16.33203125" style="1" customWidth="1"/>
    <col min="11" max="11" width="9.109375" style="1"/>
    <col min="12" max="12" width="10.5546875" style="1" bestFit="1" customWidth="1"/>
    <col min="13" max="16384" width="9.109375" style="1"/>
  </cols>
  <sheetData>
    <row r="4" spans="1:10">
      <c r="A4" s="920" t="s">
        <v>376</v>
      </c>
      <c r="B4" s="920"/>
      <c r="C4" s="920"/>
      <c r="D4" s="920"/>
      <c r="E4" s="920"/>
      <c r="F4" s="920"/>
      <c r="G4" s="920"/>
      <c r="H4" s="920"/>
      <c r="I4" s="920"/>
      <c r="J4" s="920"/>
    </row>
    <row r="5" spans="1:10">
      <c r="A5" s="920" t="s">
        <v>244</v>
      </c>
      <c r="B5" s="920"/>
      <c r="C5" s="920"/>
      <c r="D5" s="920"/>
      <c r="E5" s="920"/>
      <c r="F5" s="920"/>
      <c r="G5" s="920"/>
      <c r="H5" s="920"/>
      <c r="I5" s="920"/>
      <c r="J5" s="920"/>
    </row>
    <row r="6" spans="1:10">
      <c r="A6" s="920" t="s">
        <v>723</v>
      </c>
      <c r="B6" s="920"/>
      <c r="C6" s="920"/>
      <c r="D6" s="920"/>
      <c r="E6" s="920"/>
      <c r="F6" s="920"/>
      <c r="G6" s="920"/>
      <c r="H6" s="920"/>
      <c r="I6" s="920"/>
      <c r="J6" s="920"/>
    </row>
    <row r="8" spans="1:10" ht="15" customHeight="1">
      <c r="A8" s="921" t="s">
        <v>716</v>
      </c>
      <c r="B8" s="921"/>
      <c r="C8" s="921"/>
      <c r="D8" s="921"/>
      <c r="E8" s="921"/>
      <c r="F8" s="921"/>
      <c r="G8" s="921"/>
      <c r="H8" s="921"/>
      <c r="I8" s="921"/>
      <c r="J8" s="921"/>
    </row>
    <row r="10" spans="1:10">
      <c r="A10" s="920" t="s">
        <v>724</v>
      </c>
      <c r="B10" s="920"/>
      <c r="C10" s="920"/>
      <c r="D10" s="920"/>
      <c r="E10" s="920"/>
      <c r="F10" s="920"/>
      <c r="G10" s="920"/>
      <c r="H10" s="920"/>
      <c r="I10" s="920"/>
      <c r="J10" s="920"/>
    </row>
    <row r="12" spans="1:10">
      <c r="A12" s="923" t="s">
        <v>228</v>
      </c>
      <c r="B12" s="923" t="s">
        <v>229</v>
      </c>
      <c r="C12" s="923" t="s">
        <v>230</v>
      </c>
      <c r="D12" s="923" t="s">
        <v>236</v>
      </c>
      <c r="E12" s="923"/>
      <c r="F12" s="923"/>
      <c r="G12" s="923"/>
      <c r="H12" s="923" t="s">
        <v>237</v>
      </c>
      <c r="I12" s="923" t="s">
        <v>238</v>
      </c>
      <c r="J12" s="923" t="s">
        <v>715</v>
      </c>
    </row>
    <row r="13" spans="1:10">
      <c r="A13" s="923"/>
      <c r="B13" s="923"/>
      <c r="C13" s="923"/>
      <c r="D13" s="923" t="s">
        <v>231</v>
      </c>
      <c r="E13" s="923" t="s">
        <v>235</v>
      </c>
      <c r="F13" s="923"/>
      <c r="G13" s="923"/>
      <c r="H13" s="923"/>
      <c r="I13" s="923"/>
      <c r="J13" s="923"/>
    </row>
    <row r="14" spans="1:10" ht="46.5" customHeight="1">
      <c r="A14" s="923"/>
      <c r="B14" s="923"/>
      <c r="C14" s="923"/>
      <c r="D14" s="923"/>
      <c r="E14" s="2" t="s">
        <v>232</v>
      </c>
      <c r="F14" s="2" t="s">
        <v>233</v>
      </c>
      <c r="G14" s="2" t="s">
        <v>234</v>
      </c>
      <c r="H14" s="923"/>
      <c r="I14" s="923"/>
      <c r="J14" s="923"/>
    </row>
    <row r="15" spans="1:10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>
      <c r="A16" s="3">
        <v>1</v>
      </c>
      <c r="B16" s="3" t="s">
        <v>707</v>
      </c>
      <c r="C16" s="3">
        <v>1</v>
      </c>
      <c r="D16" s="3">
        <f>E16+G16</f>
        <v>23005.33</v>
      </c>
      <c r="E16" s="3">
        <v>20707</v>
      </c>
      <c r="F16" s="3"/>
      <c r="G16" s="3">
        <v>2298.33</v>
      </c>
      <c r="H16" s="3"/>
      <c r="I16" s="3">
        <v>6212.12</v>
      </c>
      <c r="J16" s="713">
        <f>(D16+I16)*12</f>
        <v>350609.4</v>
      </c>
    </row>
    <row r="17" spans="1:10" ht="28.8">
      <c r="A17" s="3">
        <v>2</v>
      </c>
      <c r="B17" s="3" t="s">
        <v>708</v>
      </c>
      <c r="C17" s="3">
        <v>4</v>
      </c>
      <c r="D17" s="3">
        <f>E17+F17+G17</f>
        <v>85896.9</v>
      </c>
      <c r="E17" s="3">
        <v>27927.5</v>
      </c>
      <c r="F17" s="3"/>
      <c r="G17" s="3">
        <f>58540.62-571.22</f>
        <v>57969.4</v>
      </c>
      <c r="H17" s="3"/>
      <c r="I17" s="3">
        <v>9853.5</v>
      </c>
      <c r="J17" s="3">
        <f t="shared" ref="J17:J19" si="0">(D17+I17)*12</f>
        <v>1149004.7999999998</v>
      </c>
    </row>
    <row r="18" spans="1:10" ht="28.8">
      <c r="A18" s="3">
        <v>3</v>
      </c>
      <c r="B18" s="3" t="s">
        <v>709</v>
      </c>
      <c r="C18" s="3">
        <v>0.75</v>
      </c>
      <c r="D18" s="3">
        <f t="shared" ref="D18:D20" si="1">E18+F18+G18</f>
        <v>35400.769999999997</v>
      </c>
      <c r="E18" s="3">
        <v>4648.13</v>
      </c>
      <c r="F18" s="3"/>
      <c r="G18" s="3">
        <v>30752.639999999999</v>
      </c>
      <c r="H18" s="3"/>
      <c r="I18" s="3">
        <v>1162.1300000000001</v>
      </c>
      <c r="J18" s="3">
        <f t="shared" si="0"/>
        <v>438754.79999999993</v>
      </c>
    </row>
    <row r="19" spans="1:10">
      <c r="A19" s="3">
        <v>4</v>
      </c>
      <c r="B19" s="3" t="s">
        <v>710</v>
      </c>
      <c r="C19" s="3">
        <v>4</v>
      </c>
      <c r="D19" s="3">
        <f t="shared" si="1"/>
        <v>26658.89</v>
      </c>
      <c r="E19" s="3">
        <v>15631.5</v>
      </c>
      <c r="F19" s="3"/>
      <c r="G19" s="3">
        <v>11027.39</v>
      </c>
      <c r="H19" s="3"/>
      <c r="I19" s="3">
        <v>4689.45</v>
      </c>
      <c r="J19" s="3">
        <f t="shared" si="0"/>
        <v>376180.08</v>
      </c>
    </row>
    <row r="20" spans="1:10">
      <c r="A20" s="3">
        <v>5</v>
      </c>
      <c r="B20" s="3" t="s">
        <v>383</v>
      </c>
      <c r="C20" s="3">
        <v>7.25</v>
      </c>
      <c r="D20" s="3">
        <f t="shared" si="1"/>
        <v>31102.09</v>
      </c>
      <c r="E20" s="3">
        <v>20968.5</v>
      </c>
      <c r="F20" s="3">
        <v>2782</v>
      </c>
      <c r="G20" s="3">
        <v>7351.59</v>
      </c>
      <c r="H20" s="3"/>
      <c r="I20" s="3">
        <v>5852.16</v>
      </c>
      <c r="J20" s="3">
        <f>(D20+I20)*12-0.08</f>
        <v>443450.92</v>
      </c>
    </row>
    <row r="21" spans="1:10">
      <c r="A21" s="924" t="s">
        <v>240</v>
      </c>
      <c r="B21" s="925"/>
      <c r="C21" s="3" t="s">
        <v>241</v>
      </c>
      <c r="D21" s="3"/>
      <c r="E21" s="3" t="s">
        <v>241</v>
      </c>
      <c r="F21" s="3" t="s">
        <v>241</v>
      </c>
      <c r="G21" s="3" t="s">
        <v>241</v>
      </c>
      <c r="H21" s="3" t="s">
        <v>241</v>
      </c>
      <c r="I21" s="3" t="s">
        <v>241</v>
      </c>
      <c r="J21" s="712">
        <f>SUM(J16:J20)</f>
        <v>2757999.9999999995</v>
      </c>
    </row>
  </sheetData>
  <mergeCells count="15">
    <mergeCell ref="A6:J6"/>
    <mergeCell ref="A4:J4"/>
    <mergeCell ref="A5:J5"/>
    <mergeCell ref="H12:H14"/>
    <mergeCell ref="I12:I14"/>
    <mergeCell ref="J12:J14"/>
    <mergeCell ref="A21:B21"/>
    <mergeCell ref="A10:J10"/>
    <mergeCell ref="A8:J8"/>
    <mergeCell ref="E13:G13"/>
    <mergeCell ref="D13:D14"/>
    <mergeCell ref="D12:G12"/>
    <mergeCell ref="A12:A14"/>
    <mergeCell ref="B12:B14"/>
    <mergeCell ref="C12:C14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J25"/>
    </sheetView>
  </sheetViews>
  <sheetFormatPr defaultRowHeight="14.4"/>
  <cols>
    <col min="1" max="1" width="4.6640625" customWidth="1"/>
    <col min="2" max="2" width="35.44140625" customWidth="1"/>
    <col min="3" max="3" width="14.6640625" customWidth="1"/>
    <col min="4" max="4" width="12" customWidth="1"/>
    <col min="5" max="5" width="11.6640625" customWidth="1"/>
    <col min="6" max="6" width="13.5546875" customWidth="1"/>
  </cols>
  <sheetData>
    <row r="1" spans="1:11" ht="15" customHeight="1">
      <c r="A1" s="920" t="s">
        <v>244</v>
      </c>
      <c r="B1" s="920"/>
      <c r="C1" s="920"/>
      <c r="D1" s="920"/>
      <c r="E1" s="920"/>
      <c r="F1" s="920"/>
      <c r="G1" s="10"/>
      <c r="H1" s="10"/>
      <c r="I1" s="10"/>
      <c r="J1" s="10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921" t="s">
        <v>245</v>
      </c>
      <c r="B3" s="921"/>
      <c r="C3" s="921"/>
      <c r="D3" s="921"/>
      <c r="E3" s="921"/>
      <c r="F3" s="921"/>
      <c r="G3" s="921"/>
      <c r="H3" s="921"/>
      <c r="I3" s="921"/>
      <c r="J3" s="92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921" t="s">
        <v>246</v>
      </c>
      <c r="B5" s="921"/>
      <c r="C5" s="921"/>
      <c r="D5" s="921"/>
      <c r="E5" s="921"/>
      <c r="F5" s="921"/>
      <c r="G5" s="921"/>
      <c r="H5" s="921"/>
      <c r="I5" s="921"/>
      <c r="J5" s="921"/>
    </row>
    <row r="7" spans="1:11">
      <c r="A7" s="926" t="s">
        <v>247</v>
      </c>
      <c r="B7" s="926"/>
      <c r="C7" s="926"/>
      <c r="D7" s="926"/>
      <c r="E7" s="926"/>
      <c r="F7" s="926"/>
      <c r="G7" s="9"/>
      <c r="H7" s="9"/>
      <c r="I7" s="9"/>
      <c r="J7" s="9"/>
      <c r="K7" s="9"/>
    </row>
    <row r="9" spans="1:11" ht="86.4">
      <c r="A9" s="2" t="s">
        <v>228</v>
      </c>
      <c r="B9" s="2" t="s">
        <v>248</v>
      </c>
      <c r="C9" s="2" t="s">
        <v>249</v>
      </c>
      <c r="D9" s="2" t="s">
        <v>250</v>
      </c>
      <c r="E9" s="2" t="s">
        <v>251</v>
      </c>
      <c r="F9" s="2" t="s">
        <v>252</v>
      </c>
    </row>
    <row r="10" spans="1:1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11" ht="57.6">
      <c r="A11" s="6">
        <v>1</v>
      </c>
      <c r="B11" s="7" t="s">
        <v>253</v>
      </c>
      <c r="C11" s="6" t="s">
        <v>241</v>
      </c>
      <c r="D11" s="6" t="s">
        <v>241</v>
      </c>
      <c r="E11" s="6" t="s">
        <v>241</v>
      </c>
      <c r="F11" s="5"/>
    </row>
    <row r="12" spans="1:11" ht="76.5" customHeight="1">
      <c r="A12" s="6" t="s">
        <v>254</v>
      </c>
      <c r="B12" s="7" t="s">
        <v>255</v>
      </c>
      <c r="C12" s="5"/>
      <c r="D12" s="5"/>
      <c r="E12" s="5"/>
      <c r="F12" s="5"/>
    </row>
    <row r="13" spans="1:11" ht="28.8">
      <c r="A13" s="6" t="s">
        <v>256</v>
      </c>
      <c r="B13" s="7" t="s">
        <v>257</v>
      </c>
      <c r="C13" s="5"/>
      <c r="D13" s="5"/>
      <c r="E13" s="5"/>
      <c r="F13" s="5"/>
    </row>
    <row r="14" spans="1:11" ht="28.8">
      <c r="A14" s="6" t="s">
        <v>258</v>
      </c>
      <c r="B14" s="8" t="s">
        <v>259</v>
      </c>
      <c r="C14" s="5"/>
      <c r="D14" s="5"/>
      <c r="E14" s="5"/>
      <c r="F14" s="5"/>
    </row>
    <row r="15" spans="1:11">
      <c r="A15" s="6"/>
      <c r="B15" s="7"/>
      <c r="C15" s="5"/>
      <c r="D15" s="5"/>
      <c r="E15" s="5"/>
      <c r="F15" s="5"/>
    </row>
    <row r="16" spans="1:11">
      <c r="A16" s="6"/>
      <c r="B16" s="7"/>
      <c r="C16" s="5"/>
      <c r="D16" s="5"/>
      <c r="E16" s="5"/>
      <c r="F16" s="5"/>
    </row>
    <row r="17" spans="1:6" ht="51" customHeight="1">
      <c r="A17" s="6">
        <v>2</v>
      </c>
      <c r="B17" s="7" t="s">
        <v>260</v>
      </c>
      <c r="C17" s="6" t="s">
        <v>241</v>
      </c>
      <c r="D17" s="6" t="s">
        <v>241</v>
      </c>
      <c r="E17" s="6" t="s">
        <v>241</v>
      </c>
      <c r="F17" s="5"/>
    </row>
    <row r="18" spans="1:6" ht="72">
      <c r="A18" s="6" t="s">
        <v>261</v>
      </c>
      <c r="B18" s="7" t="s">
        <v>255</v>
      </c>
      <c r="C18" s="5"/>
      <c r="D18" s="5"/>
      <c r="E18" s="5"/>
      <c r="F18" s="5"/>
    </row>
    <row r="19" spans="1:6" ht="28.8">
      <c r="A19" s="6" t="s">
        <v>262</v>
      </c>
      <c r="B19" s="7" t="s">
        <v>257</v>
      </c>
      <c r="C19" s="5"/>
      <c r="D19" s="5"/>
      <c r="E19" s="5"/>
      <c r="F19" s="5"/>
    </row>
    <row r="20" spans="1:6" ht="28.8">
      <c r="A20" s="6" t="s">
        <v>263</v>
      </c>
      <c r="B20" s="8" t="s">
        <v>259</v>
      </c>
      <c r="C20" s="5"/>
      <c r="D20" s="5"/>
      <c r="E20" s="5"/>
      <c r="F20" s="5"/>
    </row>
    <row r="21" spans="1:6">
      <c r="A21" s="6"/>
      <c r="B21" s="7"/>
      <c r="C21" s="5"/>
      <c r="D21" s="5"/>
      <c r="E21" s="5"/>
      <c r="F21" s="5"/>
    </row>
    <row r="22" spans="1:6">
      <c r="A22" s="6"/>
      <c r="B22" s="7"/>
      <c r="C22" s="5"/>
      <c r="D22" s="5"/>
      <c r="E22" s="5"/>
      <c r="F22" s="5"/>
    </row>
    <row r="23" spans="1:6">
      <c r="A23" s="5"/>
      <c r="B23" s="8" t="s">
        <v>264</v>
      </c>
      <c r="C23" s="6" t="s">
        <v>241</v>
      </c>
      <c r="D23" s="6" t="s">
        <v>241</v>
      </c>
      <c r="E23" s="6" t="s">
        <v>241</v>
      </c>
      <c r="F23" s="5"/>
    </row>
  </sheetData>
  <mergeCells count="4">
    <mergeCell ref="A3:J3"/>
    <mergeCell ref="A5:J5"/>
    <mergeCell ref="A7:F7"/>
    <mergeCell ref="A1:F1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sqref="A1:F15"/>
    </sheetView>
  </sheetViews>
  <sheetFormatPr defaultColWidth="9.109375" defaultRowHeight="14.4"/>
  <cols>
    <col min="1" max="1" width="4.109375" style="1" customWidth="1"/>
    <col min="2" max="2" width="38" style="1" customWidth="1"/>
    <col min="3" max="3" width="14.109375" style="1" customWidth="1"/>
    <col min="4" max="4" width="14.44140625" style="1" customWidth="1"/>
    <col min="5" max="5" width="15" style="1" customWidth="1"/>
    <col min="6" max="6" width="14" style="1" customWidth="1"/>
    <col min="7" max="16384" width="9.109375" style="1"/>
  </cols>
  <sheetData>
    <row r="2" spans="1:6">
      <c r="A2" s="920" t="s">
        <v>244</v>
      </c>
      <c r="B2" s="920"/>
      <c r="C2" s="920"/>
      <c r="D2" s="920"/>
      <c r="E2" s="920"/>
      <c r="F2" s="920"/>
    </row>
    <row r="3" spans="1:6">
      <c r="A3" s="921" t="s">
        <v>269</v>
      </c>
      <c r="B3" s="921"/>
      <c r="C3" s="921"/>
      <c r="D3" s="921"/>
      <c r="E3" s="921"/>
      <c r="F3" s="921"/>
    </row>
    <row r="5" spans="1:6" ht="15" customHeight="1">
      <c r="A5" s="921" t="s">
        <v>270</v>
      </c>
      <c r="B5" s="921"/>
      <c r="C5" s="921"/>
      <c r="D5" s="921"/>
      <c r="E5" s="921"/>
      <c r="F5" s="921"/>
    </row>
    <row r="7" spans="1:6">
      <c r="A7" s="920" t="s">
        <v>265</v>
      </c>
      <c r="B7" s="920"/>
      <c r="C7" s="920"/>
      <c r="D7" s="920"/>
      <c r="E7" s="920"/>
      <c r="F7" s="920"/>
    </row>
    <row r="9" spans="1:6" ht="59.25" customHeight="1">
      <c r="A9" s="2" t="s">
        <v>228</v>
      </c>
      <c r="B9" s="2" t="s">
        <v>248</v>
      </c>
      <c r="C9" s="2" t="s">
        <v>266</v>
      </c>
      <c r="D9" s="2" t="s">
        <v>267</v>
      </c>
      <c r="E9" s="2" t="s">
        <v>268</v>
      </c>
      <c r="F9" s="2" t="s">
        <v>252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>
      <c r="A11" s="3">
        <v>1</v>
      </c>
      <c r="B11" s="12" t="s">
        <v>271</v>
      </c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 ht="15" customHeight="1">
      <c r="A14" s="7"/>
      <c r="B14" s="7" t="s">
        <v>240</v>
      </c>
      <c r="C14" s="3" t="s">
        <v>241</v>
      </c>
      <c r="D14" s="3" t="s">
        <v>241</v>
      </c>
      <c r="E14" s="3" t="s">
        <v>241</v>
      </c>
      <c r="F14" s="3"/>
    </row>
  </sheetData>
  <mergeCells count="4">
    <mergeCell ref="A2:F2"/>
    <mergeCell ref="A3:F3"/>
    <mergeCell ref="A5:F5"/>
    <mergeCell ref="A7:F7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4"/>
  <sheetViews>
    <sheetView topLeftCell="A17" workbookViewId="0">
      <selection sqref="A1:D28"/>
    </sheetView>
  </sheetViews>
  <sheetFormatPr defaultColWidth="9.109375" defaultRowHeight="14.4"/>
  <cols>
    <col min="1" max="1" width="6.33203125" style="1" customWidth="1"/>
    <col min="2" max="2" width="53.44140625" style="1" customWidth="1"/>
    <col min="3" max="3" width="13.5546875" style="1" customWidth="1"/>
    <col min="4" max="4" width="14.44140625" style="1" customWidth="1"/>
    <col min="5" max="16384" width="9.109375" style="1"/>
  </cols>
  <sheetData>
    <row r="2" spans="1:4">
      <c r="A2" s="920" t="s">
        <v>272</v>
      </c>
      <c r="B2" s="920"/>
      <c r="C2" s="920"/>
      <c r="D2" s="920"/>
    </row>
    <row r="3" spans="1:4">
      <c r="A3" s="920" t="s">
        <v>725</v>
      </c>
      <c r="B3" s="920"/>
      <c r="C3" s="920"/>
      <c r="D3" s="920"/>
    </row>
    <row r="5" spans="1:4" ht="15" customHeight="1">
      <c r="A5" s="921" t="s">
        <v>716</v>
      </c>
      <c r="B5" s="921"/>
      <c r="C5" s="921"/>
      <c r="D5" s="921"/>
    </row>
    <row r="7" spans="1:4" ht="48.75" customHeight="1">
      <c r="A7" s="920" t="s">
        <v>726</v>
      </c>
      <c r="B7" s="920"/>
      <c r="C7" s="920"/>
      <c r="D7" s="920"/>
    </row>
    <row r="9" spans="1:4" ht="80.25" customHeight="1">
      <c r="A9" s="2" t="s">
        <v>228</v>
      </c>
      <c r="B9" s="2" t="s">
        <v>273</v>
      </c>
      <c r="C9" s="2" t="s">
        <v>274</v>
      </c>
      <c r="D9" s="2" t="s">
        <v>275</v>
      </c>
    </row>
    <row r="10" spans="1:4">
      <c r="A10" s="2">
        <v>1</v>
      </c>
      <c r="B10" s="2">
        <v>2</v>
      </c>
      <c r="C10" s="2">
        <v>3</v>
      </c>
      <c r="D10" s="2">
        <v>4</v>
      </c>
    </row>
    <row r="11" spans="1:4" ht="28.8">
      <c r="A11" s="2" t="s">
        <v>281</v>
      </c>
      <c r="B11" s="12" t="s">
        <v>276</v>
      </c>
      <c r="C11" s="3" t="s">
        <v>241</v>
      </c>
      <c r="D11" s="3">
        <f>D12</f>
        <v>613360</v>
      </c>
    </row>
    <row r="12" spans="1:4" ht="28.8">
      <c r="A12" s="14" t="s">
        <v>254</v>
      </c>
      <c r="B12" s="12" t="s">
        <v>277</v>
      </c>
      <c r="C12" s="3"/>
      <c r="D12" s="3">
        <f>606760+6600</f>
        <v>613360</v>
      </c>
    </row>
    <row r="13" spans="1:4">
      <c r="A13" s="2" t="s">
        <v>256</v>
      </c>
      <c r="B13" s="12" t="s">
        <v>278</v>
      </c>
      <c r="C13" s="3"/>
      <c r="D13" s="3"/>
    </row>
    <row r="14" spans="1:4" ht="29.25" customHeight="1">
      <c r="A14" s="14" t="s">
        <v>258</v>
      </c>
      <c r="B14" s="7" t="s">
        <v>279</v>
      </c>
      <c r="C14" s="3"/>
      <c r="D14" s="3"/>
    </row>
    <row r="15" spans="1:4" ht="28.8">
      <c r="A15" s="14" t="s">
        <v>280</v>
      </c>
      <c r="B15" s="12" t="s">
        <v>282</v>
      </c>
      <c r="C15" s="2" t="s">
        <v>241</v>
      </c>
      <c r="D15" s="3">
        <f>D16+D18</f>
        <v>85498</v>
      </c>
    </row>
    <row r="16" spans="1:4" ht="57.6">
      <c r="A16" s="14" t="s">
        <v>261</v>
      </c>
      <c r="B16" s="12" t="s">
        <v>283</v>
      </c>
      <c r="C16" s="3"/>
      <c r="D16" s="3">
        <v>79982</v>
      </c>
    </row>
    <row r="17" spans="1:4" ht="28.8">
      <c r="A17" s="14" t="s">
        <v>262</v>
      </c>
      <c r="B17" s="12" t="s">
        <v>284</v>
      </c>
      <c r="C17" s="3"/>
      <c r="D17" s="3"/>
    </row>
    <row r="18" spans="1:4" ht="43.2">
      <c r="A18" s="14" t="s">
        <v>263</v>
      </c>
      <c r="B18" s="12" t="s">
        <v>285</v>
      </c>
      <c r="C18" s="3"/>
      <c r="D18" s="3">
        <v>5516</v>
      </c>
    </row>
    <row r="19" spans="1:4" ht="43.2">
      <c r="A19" s="14" t="s">
        <v>286</v>
      </c>
      <c r="B19" s="12" t="s">
        <v>287</v>
      </c>
      <c r="C19" s="3"/>
      <c r="D19" s="3"/>
    </row>
    <row r="20" spans="1:4" ht="43.2">
      <c r="A20" s="14" t="s">
        <v>288</v>
      </c>
      <c r="B20" s="12" t="s">
        <v>287</v>
      </c>
      <c r="C20" s="3"/>
      <c r="D20" s="3"/>
    </row>
    <row r="21" spans="1:4" ht="28.8">
      <c r="A21" s="14" t="s">
        <v>289</v>
      </c>
      <c r="B21" s="12" t="s">
        <v>290</v>
      </c>
      <c r="C21" s="3"/>
      <c r="D21" s="3">
        <v>140658</v>
      </c>
    </row>
    <row r="22" spans="1:4">
      <c r="A22" s="13"/>
      <c r="B22" s="12" t="s">
        <v>264</v>
      </c>
      <c r="C22" s="3" t="s">
        <v>241</v>
      </c>
      <c r="D22" s="3">
        <f>D21+D16+D12</f>
        <v>834000</v>
      </c>
    </row>
    <row r="24" spans="1:4" ht="79.5" customHeight="1">
      <c r="A24" s="927" t="s">
        <v>291</v>
      </c>
      <c r="B24" s="927"/>
      <c r="C24" s="927"/>
      <c r="D24" s="927"/>
    </row>
  </sheetData>
  <mergeCells count="5">
    <mergeCell ref="A24:D24"/>
    <mergeCell ref="A2:D2"/>
    <mergeCell ref="A3:D3"/>
    <mergeCell ref="A5:D5"/>
    <mergeCell ref="A7:D7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E9" sqref="E9"/>
    </sheetView>
  </sheetViews>
  <sheetFormatPr defaultColWidth="9.109375" defaultRowHeight="14.4"/>
  <cols>
    <col min="1" max="1" width="6.33203125" style="1" customWidth="1"/>
    <col min="2" max="2" width="44.33203125" style="1" customWidth="1"/>
    <col min="3" max="3" width="13.5546875" style="1" customWidth="1"/>
    <col min="4" max="4" width="14.44140625" style="1" customWidth="1"/>
    <col min="5" max="5" width="15.44140625" style="1" customWidth="1"/>
    <col min="6" max="16384" width="9.109375" style="1"/>
  </cols>
  <sheetData>
    <row r="2" spans="1:5" ht="15" customHeight="1">
      <c r="A2" s="920" t="s">
        <v>310</v>
      </c>
      <c r="B2" s="920"/>
      <c r="C2" s="920"/>
      <c r="D2" s="920"/>
      <c r="E2" s="920"/>
    </row>
    <row r="3" spans="1:5" ht="15" customHeight="1">
      <c r="A3" s="11"/>
      <c r="B3" s="11"/>
      <c r="C3" s="11"/>
      <c r="D3" s="11"/>
      <c r="E3" s="11"/>
    </row>
    <row r="4" spans="1:5" ht="15" customHeight="1">
      <c r="A4" s="920" t="s">
        <v>269</v>
      </c>
      <c r="B4" s="920"/>
      <c r="C4" s="920"/>
      <c r="D4" s="920"/>
      <c r="E4" s="920"/>
    </row>
    <row r="6" spans="1:5" ht="15" customHeight="1">
      <c r="A6" s="920" t="s">
        <v>270</v>
      </c>
      <c r="B6" s="920"/>
      <c r="C6" s="920"/>
      <c r="D6" s="920"/>
      <c r="E6" s="920"/>
    </row>
    <row r="9" spans="1:5" ht="80.25" customHeight="1">
      <c r="A9" s="2" t="s">
        <v>228</v>
      </c>
      <c r="B9" s="2" t="s">
        <v>292</v>
      </c>
      <c r="C9" s="2" t="s">
        <v>293</v>
      </c>
      <c r="D9" s="2" t="s">
        <v>294</v>
      </c>
      <c r="E9" s="2" t="s">
        <v>295</v>
      </c>
    </row>
    <row r="10" spans="1: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>
      <c r="A11" s="2"/>
      <c r="B11" s="12"/>
      <c r="C11" s="3"/>
      <c r="D11" s="3"/>
      <c r="E11" s="3"/>
    </row>
    <row r="12" spans="1:5">
      <c r="A12" s="14"/>
      <c r="B12" s="12"/>
      <c r="C12" s="3"/>
      <c r="D12" s="3"/>
      <c r="E12" s="3"/>
    </row>
    <row r="13" spans="1:5">
      <c r="A13" s="2"/>
      <c r="B13" s="3"/>
      <c r="C13" s="3"/>
      <c r="D13" s="3"/>
      <c r="E13" s="3"/>
    </row>
    <row r="14" spans="1:5" ht="29.25" customHeight="1">
      <c r="A14" s="14"/>
      <c r="B14" s="7"/>
      <c r="C14" s="3"/>
      <c r="D14" s="3"/>
      <c r="E14" s="3"/>
    </row>
    <row r="15" spans="1:5">
      <c r="A15" s="14"/>
      <c r="B15" s="12"/>
      <c r="C15" s="2"/>
      <c r="D15" s="3"/>
      <c r="E15" s="3"/>
    </row>
    <row r="16" spans="1:5">
      <c r="A16" s="13"/>
      <c r="B16" s="12" t="s">
        <v>240</v>
      </c>
      <c r="C16" s="3" t="s">
        <v>241</v>
      </c>
      <c r="D16" s="3" t="s">
        <v>241</v>
      </c>
      <c r="E16" s="3"/>
    </row>
    <row r="18" spans="1:4" ht="79.5" customHeight="1">
      <c r="A18" s="927"/>
      <c r="B18" s="927"/>
      <c r="C18" s="927"/>
      <c r="D18" s="927"/>
    </row>
  </sheetData>
  <mergeCells count="4">
    <mergeCell ref="A18:D18"/>
    <mergeCell ref="A2:E2"/>
    <mergeCell ref="A4:E4"/>
    <mergeCell ref="A6:E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приложение по энергосбережению</vt:lpstr>
      <vt:lpstr>бланк ПФХД </vt:lpstr>
      <vt:lpstr>пример по оплате труда(бюджет)</vt:lpstr>
      <vt:lpstr>пример по оплате труда(внебюдже</vt:lpstr>
      <vt:lpstr>расч.расх.на опл.тр.</vt:lpstr>
      <vt:lpstr>служеб.коман.</vt:lpstr>
      <vt:lpstr>вып.перс.по уход.за реб.</vt:lpstr>
      <vt:lpstr>страх.взносы</vt:lpstr>
      <vt:lpstr>соц.и иные выпл.</vt:lpstr>
      <vt:lpstr>налоги</vt:lpstr>
      <vt:lpstr>проч.налоги и сборы</vt:lpstr>
      <vt:lpstr>безвозм.переч-ия</vt:lpstr>
      <vt:lpstr>проч.расходы</vt:lpstr>
      <vt:lpstr>расх.на оплат.услуг связи</vt:lpstr>
      <vt:lpstr>расх.на оплат.транс.услуг </vt:lpstr>
      <vt:lpstr>расх.на оплат.комун.услуг</vt:lpstr>
      <vt:lpstr>расх.на оплат.арен.имущ.</vt:lpstr>
      <vt:lpstr>расх.на оплат.содер.имущ.</vt:lpstr>
      <vt:lpstr>расх.на опл.проч.раб.и  (бюдж)</vt:lpstr>
      <vt:lpstr>расх.на опл.проч.раб.и (внебюдж</vt:lpstr>
      <vt:lpstr>основ.сред.</vt:lpstr>
      <vt:lpstr>приоб.мат.запасов (внебюджет)</vt:lpstr>
      <vt:lpstr>приоб.мат.запасов (бюджет</vt:lpstr>
      <vt:lpstr>ФЗП бюджет-допол</vt:lpstr>
      <vt:lpstr>Лист4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Афонова</cp:lastModifiedBy>
  <cp:lastPrinted>2017-03-16T02:16:57Z</cp:lastPrinted>
  <dcterms:created xsi:type="dcterms:W3CDTF">2016-11-28T03:56:34Z</dcterms:created>
  <dcterms:modified xsi:type="dcterms:W3CDTF">2017-12-14T03:33:51Z</dcterms:modified>
</cp:coreProperties>
</file>